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1" yWindow="65161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<sst xmlns="http://schemas.openxmlformats.org/spreadsheetml/2006/main" count="4175" uniqueCount="973">
  <si>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</si>
  <si>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</si>
  <si>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</si>
  <si>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</si>
  <si>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</si>
  <si>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</si>
  <si>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</si>
  <si>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</si>
  <si>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</si>
  <si>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</si>
  <si>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</si>
  <si>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</si>
  <si>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</si>
  <si>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</si>
  <si>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</si>
  <si>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</si>
  <si>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</si>
  <si>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</si>
  <si>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</si>
  <si>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</si>
  <si>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</si>
  <si>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</si>
  <si>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</si>
  <si>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</si>
  <si>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</si>
  <si>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</si>
  <si>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</si>
  <si>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</si>
  <si>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</si>
  <si>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</si>
  <si>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</si>
  <si>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</si>
  <si>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</si>
  <si>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</si>
  <si>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</si>
  <si>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</si>
  <si>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</si>
  <si>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</si>
  <si>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</si>
  <si>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</si>
  <si>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</si>
  <si>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</si>
  <si>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</si>
  <si>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</si>
  <si>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</si>
  <si>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</si>
  <si>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</si>
  <si>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</si>
  <si>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</si>
  <si>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</si>
  <si>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</si>
  <si>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</si>
  <si>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</si>
  <si>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</si>
  <si>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</si>
  <si>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</si>
  <si>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</si>
  <si>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</si>
  <si>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</si>
  <si>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</si>
  <si>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</si>
  <si>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</si>
  <si>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</si>
  <si>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</si>
  <si>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</si>
  <si>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</si>
  <si>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</si>
  <si>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</si>
  <si>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</si>
  <si>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</si>
  <si>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</si>
  <si>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</si>
  <si>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</si>
  <si>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</si>
  <si>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</si>
  <si>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</si>
  <si>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</si>
  <si>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</si>
  <si>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</si>
  <si>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</si>
  <si>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</si>
  <si>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</si>
  <si>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</si>
  <si>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</si>
  <si>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</si>
  <si>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</si>
  <si>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</si>
  <si>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</si>
  <si>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</si>
  <si>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</si>
  <si>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</si>
  <si>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</si>
  <si>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</si>
  <si>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</si>
  <si>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</si>
  <si>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</si>
  <si>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</si>
  <si>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</si>
  <si>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</si>
  <si>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</si>
  <si>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</si>
  <si>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</si>
  <si>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</si>
  <si>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</si>
  <si>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</si>
  <si>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</si>
  <si>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</si>
  <si>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</si>
  <si>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</si>
  <si>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</si>
  <si>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</si>
  <si>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</si>
  <si>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</si>
  <si>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</si>
  <si>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</si>
  <si>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</si>
  <si>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</si>
  <si>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</si>
  <si>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</si>
  <si>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</si>
  <si>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</si>
  <si>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</si>
  <si>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</si>
  <si>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</si>
  <si>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</si>
  <si>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</si>
  <si>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</si>
  <si>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</si>
  <si>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</si>
  <si>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</si>
  <si>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</si>
  <si>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</si>
  <si>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</si>
  <si>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</si>
  <si>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</si>
  <si>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</si>
  <si>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</si>
  <si>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</si>
  <si>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</si>
  <si>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</si>
  <si>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</si>
  <si>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</si>
  <si>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</si>
  <si>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</si>
  <si>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</si>
  <si>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</si>
  <si>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</si>
  <si>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</si>
  <si>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</si>
  <si>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</si>
  <si>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</si>
  <si>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</si>
  <si>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</si>
  <si>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</si>
  <si>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</si>
  <si>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</si>
  <si>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</si>
  <si>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</si>
  <si>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</si>
  <si>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</si>
  <si>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</si>
  <si>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</si>
  <si>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</si>
  <si>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</si>
  <si>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</si>
  <si>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</si>
  <si>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</si>
  <si>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</si>
  <si>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</si>
  <si>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</si>
  <si>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</si>
  <si>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</si>
  <si>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</si>
  <si>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</si>
  <si>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</si>
  <si>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</si>
  <si>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</si>
  <si>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</si>
  <si>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</si>
  <si>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</si>
  <si>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</si>
  <si>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</si>
  <si>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</si>
  <si>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</si>
  <si>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</si>
  <si>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</si>
  <si>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</si>
  <si>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</si>
  <si>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</si>
  <si>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</si>
  <si>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</si>
  <si>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</si>
  <si>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</si>
  <si>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</si>
  <si>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</si>
  <si>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</si>
  <si>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</si>
  <si>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</si>
  <si>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</si>
  <si>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</si>
  <si>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</si>
  <si>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</si>
  <si>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</si>
  <si>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</si>
  <si>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</si>
  <si>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</si>
  <si>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</si>
  <si>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</si>
  <si>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</si>
  <si>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</si>
  <si>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</si>
  <si>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</si>
  <si>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</si>
  <si>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</si>
  <si>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</si>
  <si>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</si>
  <si>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</si>
  <si>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</si>
  <si>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</si>
  <si>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</si>
  <si>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</si>
  <si>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</si>
  <si>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</si>
  <si>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</si>
  <si>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</si>
  <si>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</si>
  <si>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</si>
  <si>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</si>
  <si>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</si>
  <si>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</si>
  <si>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</si>
  <si>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</si>
  <si>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</si>
  <si>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</si>
  <si>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</si>
  <si>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</si>
  <si>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</si>
  <si>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</si>
  <si>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</si>
  <si>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</si>
  <si>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</si>
  <si>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</si>
  <si>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</si>
  <si>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</si>
  <si>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</si>
  <si>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</si>
  <si>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</si>
  <si>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</si>
  <si>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</si>
  <si>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</si>
  <si>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</si>
  <si>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</si>
  <si>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</si>
  <si>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</si>
  <si>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</si>
  <si>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</si>
  <si>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</si>
  <si>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</si>
  <si>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</si>
  <si>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</si>
  <si>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</si>
  <si>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</si>
  <si>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</si>
  <si>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</si>
  <si>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</si>
  <si>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</si>
  <si>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</si>
  <si>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</si>
  <si>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</si>
  <si>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</si>
  <si>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</si>
  <si>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</si>
  <si>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</si>
  <si>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</si>
  <si>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</si>
  <si>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</si>
  <si>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</si>
  <si>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</si>
  <si>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</si>
  <si>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</si>
  <si>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</si>
  <si>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</si>
  <si>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</si>
  <si>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</si>
  <si>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</si>
  <si>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</si>
  <si>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</si>
  <si>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</si>
  <si>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</si>
  <si>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</si>
  <si>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</si>
  <si>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</si>
  <si>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</si>
  <si>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</si>
  <si>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</si>
  <si>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</si>
  <si>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</si>
  <si>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</si>
  <si>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</si>
  <si>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</si>
  <si>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</si>
  <si>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</si>
  <si>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</si>
  <si>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</si>
  <si>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</si>
  <si>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</si>
  <si>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</si>
  <si>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</si>
  <si>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</si>
  <si>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</si>
  <si>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</si>
  <si>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</si>
  <si>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</si>
  <si>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</si>
  <si>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</si>
  <si>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</si>
  <si>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</si>
  <si>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</si>
  <si>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</si>
  <si>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</si>
  <si>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</si>
  <si>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</si>
  <si>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</si>
  <si>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</si>
  <si>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</si>
  <si>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</si>
  <si>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</si>
  <si>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</si>
  <si>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</si>
  <si>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</si>
  <si>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</si>
  <si>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</si>
  <si>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</si>
  <si>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</si>
  <si>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</si>
  <si>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</si>
  <si>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</si>
  <si>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</si>
  <si>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</si>
  <si>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</si>
  <si>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</si>
  <si>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</si>
  <si>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</si>
  <si>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</si>
  <si>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</si>
  <si>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</si>
  <si>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</si>
  <si>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</si>
  <si>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</si>
  <si>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</si>
  <si>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</si>
  <si>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</si>
  <si>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</si>
  <si>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</si>
  <si>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</si>
  <si>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</si>
  <si>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</si>
  <si>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</si>
  <si>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</si>
  <si>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</si>
  <si>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</si>
  <si>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</si>
  <si>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</si>
  <si>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</si>
  <si>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</si>
  <si>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</si>
  <si>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</si>
  <si>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</si>
  <si>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</si>
  <si>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</si>
  <si>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</si>
  <si>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</si>
  <si>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</si>
  <si>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</si>
  <si>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</si>
  <si>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</si>
  <si>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</si>
  <si>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</si>
  <si>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</si>
  <si>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</si>
  <si>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</si>
  <si>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</si>
  <si>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</si>
  <si>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</si>
  <si>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</si>
  <si>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</si>
  <si>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</si>
  <si>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</si>
  <si>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</si>
  <si>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</si>
  <si>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</si>
  <si>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</si>
  <si>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</si>
  <si>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</si>
  <si>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</si>
  <si>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</si>
  <si>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</si>
  <si>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</si>
  <si>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</si>
  <si>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</si>
  <si>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</si>
  <si>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</si>
  <si>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</si>
  <si>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</si>
  <si>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</si>
  <si>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</si>
  <si>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</si>
  <si>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</si>
  <si>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</si>
  <si>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</si>
  <si>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</si>
  <si>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</si>
  <si>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</si>
  <si>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</si>
  <si>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</si>
  <si>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</si>
  <si>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</si>
  <si>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</si>
  <si>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</si>
  <si>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</si>
  <si>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</si>
  <si>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</si>
  <si>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</si>
  <si>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</si>
  <si>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</si>
  <si>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</si>
  <si>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</si>
  <si>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</si>
  <si>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</si>
  <si>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</si>
  <si>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</si>
  <si>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</si>
  <si>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</si>
  <si>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</si>
  <si>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</si>
  <si>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</si>
  <si>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</si>
  <si>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</si>
  <si>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</si>
  <si>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</si>
  <si>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</si>
  <si>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</si>
  <si>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</si>
  <si>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</si>
  <si>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</si>
  <si>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</si>
  <si>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</si>
  <si>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</si>
  <si>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</si>
  <si>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</si>
  <si>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</si>
  <si>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</si>
  <si>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</si>
  <si>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</si>
  <si>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</si>
  <si>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</si>
  <si>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</si>
  <si>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</si>
  <si>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</si>
  <si>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</si>
  <si>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</si>
  <si>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</si>
  <si>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</si>
  <si>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</si>
  <si>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</si>
  <si>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</si>
  <si>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</si>
  <si>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</si>
  <si>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</si>
  <si>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</si>
  <si>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</si>
  <si>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</si>
  <si>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</si>
  <si>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</si>
  <si>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</si>
  <si>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</si>
  <si>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</si>
  <si>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</si>
  <si>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</si>
  <si>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</si>
  <si>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</si>
  <si>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</si>
  <si>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</si>
  <si>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</si>
  <si>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</si>
  <si>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</si>
  <si>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</si>
  <si>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</si>
  <si>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</si>
  <si>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</si>
  <si>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</si>
  <si>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</si>
  <si>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</si>
  <si>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</si>
  <si>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</si>
  <si>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</si>
  <si>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</si>
  <si>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</si>
  <si>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</si>
  <si>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</si>
  <si>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</si>
  <si>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</si>
  <si>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</si>
  <si>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</si>
  <si>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</si>
  <si>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</si>
  <si>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</si>
  <si>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</si>
  <si>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</si>
  <si>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</si>
  <si>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</si>
  <si>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</si>
  <si>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</si>
  <si>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</si>
  <si>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</si>
  <si>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</si>
  <si>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</si>
  <si>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</si>
  <si>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</si>
  <si>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</si>
  <si>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</si>
  <si>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</si>
  <si>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</si>
  <si>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</si>
  <si>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</si>
  <si>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</si>
  <si>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</si>
  <si>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</si>
  <si>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</si>
  <si>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</si>
  <si>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</si>
  <si>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</si>
  <si>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</si>
  <si>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</si>
  <si>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</si>
  <si>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</si>
  <si>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</si>
  <si>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</si>
  <si>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</si>
  <si>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</si>
  <si>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</si>
  <si>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</si>
  <si>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</si>
  <si>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</si>
  <si>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</si>
  <si>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</si>
  <si>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</si>
  <si>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</si>
  <si>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</si>
  <si>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</si>
  <si>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</si>
  <si>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</si>
  <si>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</si>
  <si>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</si>
  <si>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</si>
  <si>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</si>
  <si>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</si>
  <si>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</si>
  <si>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</si>
  <si>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</si>
  <si>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</si>
  <si>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</si>
  <si>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</si>
  <si>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</si>
  <si>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</si>
  <si>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</si>
  <si>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</si>
  <si>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</si>
  <si>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</si>
  <si>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</si>
  <si>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</si>
  <si>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</si>
  <si>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</si>
  <si>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</si>
  <si>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</si>
  <si>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</si>
  <si>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</si>
  <si>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</si>
  <si>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</si>
  <si>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</si>
  <si>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</si>
  <si>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</si>
  <si>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</si>
  <si>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</si>
  <si>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</si>
  <si>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</si>
  <si>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</si>
  <si>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</si>
  <si>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</si>
  <si>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</si>
  <si>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</si>
  <si>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</si>
  <si>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</si>
  <si>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</si>
  <si>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</si>
  <si>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</si>
  <si>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</si>
  <si>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</si>
  <si>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</si>
  <si>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</si>
  <si>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</si>
  <si>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</si>
  <si>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</si>
  <si>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</si>
  <si>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</si>
  <si>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</si>
  <si>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</si>
  <si>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</si>
  <si>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</si>
  <si>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</si>
  <si>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</si>
  <si>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</si>
  <si>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</si>
  <si>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</si>
  <si>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</si>
  <si>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</si>
  <si>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</si>
  <si>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</si>
  <si>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</si>
  <si>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</si>
  <si>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</si>
  <si>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</si>
  <si>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</si>
  <si>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</si>
  <si>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</si>
  <si>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</si>
  <si>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</si>
  <si>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</si>
  <si>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</si>
  <si>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</si>
  <si>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</si>
  <si>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</si>
  <si>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</si>
  <si>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</si>
  <si>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</si>
  <si>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</si>
  <si>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</si>
  <si>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</si>
  <si>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</si>
  <si>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</si>
  <si>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</si>
  <si>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</si>
  <si>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</si>
  <si>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</si>
  <si>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</si>
  <si>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</si>
  <si>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</si>
  <si>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</si>
  <si>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</si>
  <si>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</si>
  <si>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</si>
  <si>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</si>
  <si>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</si>
  <si>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</si>
  <si>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</si>
  <si>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</si>
  <si>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</si>
  <si>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</si>
  <si>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</si>
  <si>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</si>
  <si>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</si>
  <si>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</si>
  <si>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</si>
  <si>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</si>
  <si>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</si>
  <si>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</si>
  <si>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</si>
  <si>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</si>
  <si>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</si>
  <si>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</si>
  <si>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</si>
  <si>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</si>
  <si>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</si>
  <si>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</si>
  <si>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</si>
  <si>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</si>
  <si>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</si>
  <si>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</si>
  <si>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</si>
  <si>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</si>
  <si>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</si>
  <si>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</si>
  <si>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</si>
  <si>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</si>
  <si>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</si>
  <si>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</si>
  <si>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</si>
  <si>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</si>
  <si>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</si>
  <si>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</si>
  <si>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</si>
  <si>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</si>
  <si>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</si>
  <si>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</si>
  <si>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</si>
  <si>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</si>
  <si>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</si>
  <si>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</si>
  <si>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</si>
  <si>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</si>
  <si>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</si>
  <si>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</si>
  <si>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</si>
  <si>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</si>
  <si>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</si>
  <si>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</si>
  <si>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</si>
  <si>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</si>
  <si>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</si>
  <si>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</si>
  <si>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</si>
  <si>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</si>
  <si>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</si>
  <si>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</si>
  <si>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</si>
  <si>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</si>
  <si>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</si>
  <si>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</si>
  <si>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</si>
  <si>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</si>
  <si>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</si>
  <si>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</si>
  <si>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</si>
  <si>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</si>
  <si>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</si>
  <si>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</si>
  <si>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</si>
  <si>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</si>
  <si>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</si>
  <si>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</si>
  <si>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</si>
  <si>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</si>
  <si>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</si>
  <si>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</si>
  <si>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</si>
  <si>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</si>
  <si>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</si>
  <si>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</si>
  <si>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</si>
  <si>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</si>
  <si>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</si>
  <si>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</si>
  <si>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</si>
  <si>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</si>
  <si>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</si>
  <si>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</si>
  <si>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</si>
  <si>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</si>
  <si>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</si>
  <si>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</si>
  <si>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</si>
  <si>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</si>
  <si>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</si>
  <si>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</si>
  <si>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</si>
  <si>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</si>
  <si>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</si>
  <si>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</si>
  <si>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</si>
  <si>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</si>
  <si>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</si>
  <si>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</si>
  <si>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</si>
  <si>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</si>
  <si>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</si>
  <si>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</si>
  <si>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</si>
  <si>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</si>
  <si>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</si>
  <si>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</si>
  <si>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</si>
  <si>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</si>
  <si>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</si>
  <si>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</si>
  <si>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</si>
  <si>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</si>
  <si>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</si>
  <si>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</si>
  <si>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</si>
  <si>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</si>
  <si>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</si>
  <si>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</si>
  <si>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</si>
  <si>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</si>
  <si>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</si>
  <si>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</si>
  <si>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</si>
  <si>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</si>
  <si>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</si>
  <si>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</si>
  <si>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</si>
  <si>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</si>
  <si>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</si>
  <si>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</si>
  <si>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</si>
  <si>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</si>
  <si>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</si>
  <si>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</si>
  <si>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</si>
  <si>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</si>
  <si>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</si>
  <si>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</si>
  <si>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</si>
  <si>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</si>
  <si>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</si>
  <si>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</si>
  <si>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</si>
  <si>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</si>
  <si>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</si>
  <si>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</si>
  <si>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</si>
  <si>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</si>
  <si>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</si>
  <si>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</si>
  <si>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</si>
  <si>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</si>
  <si>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</si>
  <si>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</si>
  <si>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</si>
  <si>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</si>
  <si>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</si>
  <si>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</si>
  <si>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</si>
  <si>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</si>
  <si>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</si>
  <si>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</si>
  <si>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</si>
  <si>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</si>
  <si>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</si>
  <si>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</si>
  <si>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</si>
  <si>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</si>
  <si>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</si>
  <si>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</si>
  <si>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</si>
  <si>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</si>
  <si>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</si>
  <si>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</si>
  <si>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</si>
  <si>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</si>
  <si>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</si>
  <si>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</si>
  <si>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</si>
  <si>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</si>
  <si>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</si>
  <si>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</si>
  <si>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</si>
  <si>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</si>
  <si>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</si>
  <si>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</si>
  <si>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</si>
  <si>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</si>
  <si>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</si>
  <si>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</si>
  <si>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</si>
  <si>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</si>
  <si>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</si>
  <si>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</si>
  <si>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</si>
  <si>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</si>
  <si>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</si>
  <si>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</si>
  <si>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</si>
  <si>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</si>
  <si>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</si>
  <si>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</si>
  <si>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</si>
  <si>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</si>
  <si>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</si>
  <si>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</si>
  <si>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</si>
  <si>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</si>
  <si>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</si>
  <si>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</si>
  <si>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</si>
  <si>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</si>
  <si>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</si>
  <si>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</si>
  <si>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</si>
  <si>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</si>
  <si>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</si>
  <si>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</si>
  <si>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</si>
  <si>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</si>
  <si>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</si>
  <si>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</si>
  <si>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</si>
  <si>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</si>
  <si>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</si>
  <si>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</si>
  <si>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</si>
  <si>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</si>
  <si>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</si>
  <si>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</si>
  <si>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</si>
  <si>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</si>
  <si>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</si>
  <si>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</si>
  <si>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</si>
  <si>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</si>
  <si>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</si>
  <si>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</si>
  <si>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</si>
  <si>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</si>
  <si>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</si>
  <si>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</si>
  <si>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</si>
  <si>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</si>
  <si>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</si>
  <si>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</si>
  <si>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</si>
  <si>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</si>
  <si>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</si>
  <si>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</si>
  <si>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</si>
  <si>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</si>
  <si>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</si>
  <si>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</si>
  <si>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</si>
  <si>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</si>
  <si>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</si>
  <si>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</si>
  <si>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</si>
  <si>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</si>
  <si>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</si>
  <si>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</si>
  <si>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</si>
  <si>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</si>
  <si>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</si>
  <si>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</si>
  <si>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</si>
  <si>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</si>
  <si>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</si>
  <si>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</si>
  <si>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</si>
  <si>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</si>
  <si>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</si>
  <si>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</si>
  <si>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</si>
  <si>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</si>
  <si>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</si>
  <si>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</si>
  <si>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</si>
  <si>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</si>
  <si>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</si>
  <si>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</si>
  <si>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</si>
  <si>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</si>
  <si>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</si>
  <si>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</si>
  <si>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</si>
  <si>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</si>
  <si>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</si>
  <si>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</si>
  <si>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</si>
  <si>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</si>
  <si>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</si>
  <si>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</si>
  <si>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</si>
  <si>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</si>
  <si>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</si>
  <si>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</si>
  <si>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</si>
  <si>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</si>
  <si>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</si>
  <si>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</si>
  <si>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</si>
  <si>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office@wmg.bg</t>
  </si>
  <si>
    <t>wmg.bg</t>
  </si>
  <si>
    <t>Мария Николова</t>
  </si>
  <si>
    <t>Счетоводител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</si>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</sst>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5" borderId="22" xfId="67" applyNumberFormat="1" applyFont="1" applyFill="1" applyBorder="1" applyAlignment="1" applyProtection="1">
      <alignment vertical="top"/>
      <protection locked="0"/>
    </xf>
    <xf numFmtId="3" fontId="4" fillId="35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0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5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4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0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0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0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5" borderId="28" xfId="67" applyNumberFormat="1" applyFont="1" applyFill="1" applyBorder="1" applyAlignment="1" applyProtection="1">
      <alignment vertical="top"/>
      <protection locked="0"/>
    </xf>
    <xf numFmtId="3" fontId="4" fillId="35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19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0" xfId="68" applyNumberFormat="1" applyFont="1" applyBorder="1" applyAlignment="1" applyProtection="1">
      <alignment horizontal="center" wrapText="1"/>
      <protection/>
    </xf>
    <xf numFmtId="3" fontId="4" fillId="35" borderId="19" xfId="67" applyNumberFormat="1" applyFont="1" applyFill="1" applyBorder="1" applyAlignment="1" applyProtection="1">
      <alignment vertical="top"/>
      <protection locked="0"/>
    </xf>
    <xf numFmtId="3" fontId="4" fillId="35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5" borderId="33" xfId="67" applyNumberFormat="1" applyFont="1" applyFill="1" applyBorder="1" applyAlignment="1" applyProtection="1">
      <alignment vertical="top"/>
      <protection locked="0"/>
    </xf>
    <xf numFmtId="3" fontId="11" fillId="35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19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5" borderId="14" xfId="67" applyNumberFormat="1" applyFont="1" applyFill="1" applyBorder="1" applyAlignment="1" applyProtection="1">
      <alignment vertical="center"/>
      <protection locked="0"/>
    </xf>
    <xf numFmtId="3" fontId="4" fillId="35" borderId="22" xfId="67" applyNumberFormat="1" applyFont="1" applyFill="1" applyBorder="1" applyAlignment="1" applyProtection="1">
      <alignment vertical="center"/>
      <protection locked="0"/>
    </xf>
    <xf numFmtId="3" fontId="4" fillId="35" borderId="20" xfId="67" applyNumberFormat="1" applyFont="1" applyFill="1" applyBorder="1" applyAlignment="1" applyProtection="1">
      <alignment vertical="center"/>
      <protection locked="0"/>
    </xf>
    <xf numFmtId="3" fontId="4" fillId="35" borderId="24" xfId="67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7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5" borderId="14" xfId="67" applyNumberFormat="1" applyFont="1" applyFill="1" applyBorder="1" applyAlignment="1" applyProtection="1">
      <alignment vertical="top"/>
      <protection locked="0"/>
    </xf>
    <xf numFmtId="3" fontId="3" fillId="35" borderId="22" xfId="67" applyNumberFormat="1" applyFont="1" applyFill="1" applyBorder="1" applyAlignment="1" applyProtection="1">
      <alignment vertical="top"/>
      <protection locked="0"/>
    </xf>
    <xf numFmtId="3" fontId="11" fillId="35" borderId="14" xfId="67" applyNumberFormat="1" applyFont="1" applyFill="1" applyBorder="1" applyAlignment="1" applyProtection="1">
      <alignment vertical="top"/>
      <protection locked="0"/>
    </xf>
    <xf numFmtId="3" fontId="11" fillId="35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4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4" borderId="35" xfId="70" applyFont="1" applyFill="1" applyBorder="1" applyAlignment="1" applyProtection="1">
      <alignment horizontal="center" vertical="center" wrapText="1"/>
      <protection/>
    </xf>
    <xf numFmtId="0" fontId="3" fillId="34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4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5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7" applyNumberFormat="1" applyFont="1" applyFill="1" applyBorder="1" applyAlignment="1" applyProtection="1">
      <alignment vertical="top"/>
      <protection locked="0"/>
    </xf>
    <xf numFmtId="3" fontId="3" fillId="35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1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0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0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5" borderId="22" xfId="67" applyNumberFormat="1" applyFont="1" applyFill="1" applyBorder="1" applyAlignment="1" applyProtection="1">
      <alignment vertical="center"/>
      <protection locked="0"/>
    </xf>
    <xf numFmtId="3" fontId="11" fillId="35" borderId="14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4" borderId="14" xfId="70" applyNumberFormat="1" applyFont="1" applyFill="1" applyBorder="1" applyAlignment="1" applyProtection="1">
      <alignment vertical="center"/>
      <protection/>
    </xf>
    <xf numFmtId="3" fontId="4" fillId="0" borderId="19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0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80" fillId="0" borderId="49" xfId="71" applyNumberFormat="1" applyFont="1" applyFill="1" applyBorder="1" applyAlignment="1" applyProtection="1">
      <alignment horizontal="centerContinuous"/>
      <protection/>
    </xf>
    <xf numFmtId="0" fontId="81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80" fillId="0" borderId="49" xfId="71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1" fontId="24" fillId="35" borderId="21" xfId="67" applyNumberFormat="1" applyFont="1" applyFill="1" applyBorder="1" applyAlignment="1" applyProtection="1">
      <alignment vertical="top" wrapText="1"/>
      <protection locked="0"/>
    </xf>
    <xf numFmtId="1" fontId="25" fillId="35" borderId="14" xfId="65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64" applyNumberFormat="1" applyFont="1" applyFill="1" applyBorder="1" applyAlignment="1" applyProtection="1">
      <alignment vertical="center" wrapText="1"/>
      <protection locked="0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El.7.2 5" xfId="64"/>
    <cellStyle name="Normal_El.7.2 6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44742</v>
      </c>
    </row>
    <row r="2" spans="1:27" ht="15.75">
      <c r="A2" s="653" t="s">
        <v>937</v>
      </c>
      <c r="B2" s="648"/>
      <c r="Z2" s="662">
        <v>2</v>
      </c>
      <c r="AA2" s="663">
        <f>IF(ISBLANK(_pdeReportingDate),"",_pdeReportingDate)</f>
        <v>44797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Мария Николова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64" t="s">
        <v>967</v>
      </c>
    </row>
    <row r="24" spans="1:2" ht="15.75">
      <c r="A24" s="10" t="s">
        <v>892</v>
      </c>
      <c r="B24" s="665" t="s">
        <v>968</v>
      </c>
    </row>
    <row r="25" spans="1:2" ht="15.75">
      <c r="A25" s="7" t="s">
        <v>895</v>
      </c>
      <c r="B25" s="666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-0.40321057601510857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-0.07062520674826331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-0.03185378590078329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-0.02199217140502678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0.7398523985239852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4.559227748691099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4.555628272251309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0.3118455497382199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0.3118455497382199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0.45764909248055313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0.05454264524103832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0.631229033241842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2.217168375785643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0.6904099711578079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429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0.07095600396956665</v>
      </c>
    </row>
    <row r="23" spans="1:4" ht="31.5">
      <c r="A23" s="561">
        <v>17</v>
      </c>
      <c r="B23" s="559" t="s">
        <v>951</v>
      </c>
      <c r="C23" s="560" t="s">
        <v>952</v>
      </c>
      <c r="D23" s="615">
        <f>(D21+'2-Отчет за доходите'!C14)/'2-Отчет за доходите'!G31</f>
        <v>0.6674979218620116</v>
      </c>
    </row>
    <row r="24" spans="1:4" ht="31.5">
      <c r="A24" s="561">
        <v>18</v>
      </c>
      <c r="B24" s="559" t="s">
        <v>953</v>
      </c>
      <c r="C24" s="560" t="s">
        <v>954</v>
      </c>
      <c r="D24" s="615">
        <f>('1-Баланс'!G56+'1-Баланс'!G79)/(D21+'2-Отчет за доходите'!C14)</f>
        <v>16.693648816936488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19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2287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2288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3130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3130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39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5483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298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12671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12969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949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953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13933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19416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354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4425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-5792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-5792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-427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-6219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6046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-35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349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10349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10349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2534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449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177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152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34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47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2987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69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3056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19416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359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374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381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68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1194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429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432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1626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1626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1626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1049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1059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144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144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1203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423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1203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423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423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427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1626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1211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-730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-490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-73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-165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-253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-162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-573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-3810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230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-4315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9510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-4000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-194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5316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748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205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953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953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5000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4000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354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354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354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354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4000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4000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-4000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-5792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-5792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-427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-6219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-6219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1473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1473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-427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5000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6046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6046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-39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-39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4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-35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-35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9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27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69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2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6734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6736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301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7106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12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23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35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540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540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2829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3404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21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50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104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2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7274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7276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3130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10510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21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50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104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2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7274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7276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3130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10510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8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17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58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2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4615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4617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4675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6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14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20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370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370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390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14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31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78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2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4985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4987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5065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14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31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78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2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4985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4987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5065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7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19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26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2289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2289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3130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5445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298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12681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12681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12979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12979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298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12681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12681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12979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12979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348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10348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2534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2534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447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177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164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47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24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73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3056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13404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348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10000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10348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2534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2534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447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177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164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47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24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73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3056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13404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667"/>
      <c r="E12" s="84" t="s">
        <v>25</v>
      </c>
      <c r="F12" s="87" t="s">
        <v>26</v>
      </c>
      <c r="G12" s="188">
        <v>7840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667"/>
      <c r="E13" s="84" t="s">
        <v>821</v>
      </c>
      <c r="F13" s="87" t="s">
        <v>29</v>
      </c>
      <c r="G13" s="188">
        <v>7840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66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66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66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</v>
      </c>
      <c r="D17" s="667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667"/>
      <c r="E18" s="468" t="s">
        <v>47</v>
      </c>
      <c r="F18" s="467" t="s">
        <v>48</v>
      </c>
      <c r="G18" s="578">
        <f>G12+G15+G16+G17</f>
        <v>7840</v>
      </c>
      <c r="H18" s="579">
        <f>H12+H15+H16+H17</f>
        <v>2840</v>
      </c>
    </row>
    <row r="19" spans="1:8" ht="15.75">
      <c r="A19" s="84" t="s">
        <v>49</v>
      </c>
      <c r="B19" s="86" t="s">
        <v>50</v>
      </c>
      <c r="C19" s="188">
        <v>19</v>
      </c>
      <c r="D19" s="667">
        <v>10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</v>
      </c>
      <c r="D20" s="567">
        <f>SUM(D12:D19)</f>
        <v>11</v>
      </c>
      <c r="E20" s="84" t="s">
        <v>54</v>
      </c>
      <c r="F20" s="87" t="s">
        <v>55</v>
      </c>
      <c r="G20" s="188">
        <v>4053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354</v>
      </c>
      <c r="H21" s="188">
        <v>354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</v>
      </c>
      <c r="H22" s="583">
        <f>SUM(H23:H25)</f>
        <v>4018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1</v>
      </c>
      <c r="E25" s="84" t="s">
        <v>73</v>
      </c>
      <c r="F25" s="87" t="s">
        <v>74</v>
      </c>
      <c r="G25" s="188"/>
      <c r="H25" s="187">
        <v>4000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4425</v>
      </c>
      <c r="H26" s="567">
        <f>H20+H21+H22</f>
        <v>4425</v>
      </c>
      <c r="M26" s="92"/>
    </row>
    <row r="27" spans="1:8" ht="15.75">
      <c r="A27" s="84" t="s">
        <v>79</v>
      </c>
      <c r="B27" s="86" t="s">
        <v>80</v>
      </c>
      <c r="C27" s="188">
        <v>2287</v>
      </c>
      <c r="D27" s="188">
        <v>2118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2288</v>
      </c>
      <c r="D28" s="567">
        <f>SUM(D24:D27)</f>
        <v>2119</v>
      </c>
      <c r="E28" s="193" t="s">
        <v>84</v>
      </c>
      <c r="F28" s="87" t="s">
        <v>85</v>
      </c>
      <c r="G28" s="564">
        <f>SUM(G29:G31)</f>
        <v>-5792</v>
      </c>
      <c r="H28" s="565">
        <f>SUM(H29:H31)</f>
        <v>-4926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-5792</v>
      </c>
      <c r="H30" s="188">
        <v>-4926</v>
      </c>
      <c r="M30" s="92"/>
    </row>
    <row r="31" spans="1:8" ht="15.75">
      <c r="A31" s="84" t="s">
        <v>91</v>
      </c>
      <c r="B31" s="86" t="s">
        <v>92</v>
      </c>
      <c r="C31" s="188">
        <v>3130</v>
      </c>
      <c r="D31" s="187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3130</v>
      </c>
      <c r="D33" s="567">
        <f>D31+D32</f>
        <v>301</v>
      </c>
      <c r="E33" s="191" t="s">
        <v>101</v>
      </c>
      <c r="F33" s="87" t="s">
        <v>102</v>
      </c>
      <c r="G33" s="188">
        <v>-427</v>
      </c>
      <c r="H33" s="188">
        <v>-866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-6219</v>
      </c>
      <c r="H34" s="567">
        <f>H28+H32+H33</f>
        <v>-5792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6046</v>
      </c>
      <c r="H37" s="569">
        <f>H26+H18+H34</f>
        <v>1473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-35</v>
      </c>
      <c r="H40" s="552">
        <v>-39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349</v>
      </c>
      <c r="H44" s="188">
        <v>340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8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10349</v>
      </c>
      <c r="H50" s="565">
        <f>SUM(H44:H49)</f>
        <v>10340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39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5483</v>
      </c>
      <c r="D56" s="571">
        <f>D20+D21+D22+D28+D33+D46+D52+D54+D55</f>
        <v>2433</v>
      </c>
      <c r="E56" s="94" t="s">
        <v>825</v>
      </c>
      <c r="F56" s="93" t="s">
        <v>172</v>
      </c>
      <c r="G56" s="568">
        <f>G50+G52+G53+G54+G55</f>
        <v>10349</v>
      </c>
      <c r="H56" s="569">
        <f>H50+H52+H53+H54+H55</f>
        <v>10340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2534</v>
      </c>
      <c r="H60" s="187">
        <v>2177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449</v>
      </c>
      <c r="H61" s="565">
        <f>SUM(H62:H68)</f>
        <v>620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44+133</f>
        <v>177</v>
      </c>
      <c r="H63" s="188">
        <v>173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</v>
      </c>
      <c r="H64" s="188">
        <v>313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152</v>
      </c>
      <c r="H66" s="188">
        <v>86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34</v>
      </c>
      <c r="H67" s="188">
        <v>18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47</v>
      </c>
      <c r="H68" s="188">
        <v>29</v>
      </c>
    </row>
    <row r="69" spans="1:8" ht="15.75">
      <c r="A69" s="84" t="s">
        <v>210</v>
      </c>
      <c r="B69" s="86" t="s">
        <v>211</v>
      </c>
      <c r="C69" s="188">
        <f>100+26+3+169</f>
        <v>298</v>
      </c>
      <c r="D69" s="188">
        <v>160</v>
      </c>
      <c r="E69" s="192" t="s">
        <v>79</v>
      </c>
      <c r="F69" s="87" t="s">
        <v>216</v>
      </c>
      <c r="G69" s="188">
        <v>4</v>
      </c>
      <c r="H69" s="188">
        <f>70+70+152</f>
        <v>292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2987</v>
      </c>
      <c r="H71" s="567">
        <f>H59+H60+H61+H69+H70</f>
        <v>3089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1459+95-5+2000+180-265+688+1171+118-31+6831-6+46+1+389</f>
        <v>12671</v>
      </c>
      <c r="D75" s="188">
        <v>12098</v>
      </c>
      <c r="E75" s="472" t="s">
        <v>160</v>
      </c>
      <c r="F75" s="89" t="s">
        <v>233</v>
      </c>
      <c r="G75" s="465">
        <v>69</v>
      </c>
      <c r="H75" s="466">
        <v>36</v>
      </c>
    </row>
    <row r="76" spans="1:8" ht="15.75">
      <c r="A76" s="469" t="s">
        <v>77</v>
      </c>
      <c r="B76" s="90" t="s">
        <v>232</v>
      </c>
      <c r="C76" s="566">
        <f>SUM(C68:C75)</f>
        <v>12969</v>
      </c>
      <c r="D76" s="567">
        <f>SUM(D68:D75)</f>
        <v>12258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3056</v>
      </c>
      <c r="H79" s="569">
        <f>H71+H73+H75+H77</f>
        <v>3125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</v>
      </c>
      <c r="D88" s="188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949</v>
      </c>
      <c r="D89" s="188">
        <v>204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953</v>
      </c>
      <c r="D92" s="567">
        <f>SUM(D88:D91)</f>
        <v>205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11</v>
      </c>
      <c r="D93" s="466">
        <v>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13933</v>
      </c>
      <c r="D94" s="571">
        <f>D65+D76+D85+D92+D93</f>
        <v>12466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19416</v>
      </c>
      <c r="D95" s="573">
        <f>D94+D56</f>
        <v>14899</v>
      </c>
      <c r="E95" s="220" t="s">
        <v>915</v>
      </c>
      <c r="F95" s="476" t="s">
        <v>268</v>
      </c>
      <c r="G95" s="572">
        <f>G37+G40+G56+G79</f>
        <v>19416</v>
      </c>
      <c r="H95" s="573">
        <f>H37+H40+H56+H79</f>
        <v>14899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71">
        <f>pdeReportingDate</f>
        <v>44797</v>
      </c>
      <c r="C98" s="671"/>
      <c r="D98" s="671"/>
      <c r="E98" s="671"/>
      <c r="F98" s="671"/>
      <c r="G98" s="671"/>
      <c r="H98" s="671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2" t="str">
        <f>authorName</f>
        <v>Мария Николова</v>
      </c>
      <c r="C100" s="672"/>
      <c r="D100" s="672"/>
      <c r="E100" s="672"/>
      <c r="F100" s="672"/>
      <c r="G100" s="672"/>
      <c r="H100" s="672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59"/>
      <c r="B103" s="670" t="s">
        <v>971</v>
      </c>
      <c r="C103" s="670"/>
      <c r="D103" s="670"/>
      <c r="E103" s="670"/>
      <c r="M103" s="92"/>
    </row>
    <row r="104" spans="1:5" ht="21.75" customHeight="1">
      <c r="A104" s="659"/>
      <c r="B104" s="670"/>
      <c r="C104" s="670"/>
      <c r="D104" s="670"/>
      <c r="E104" s="670"/>
    </row>
    <row r="105" spans="1:13" ht="21.75" customHeight="1">
      <c r="A105" s="659"/>
      <c r="B105" s="670" t="s">
        <v>972</v>
      </c>
      <c r="C105" s="670"/>
      <c r="D105" s="670"/>
      <c r="E105" s="670"/>
      <c r="M105" s="92"/>
    </row>
    <row r="106" spans="1:5" ht="21.75" customHeight="1">
      <c r="A106" s="659"/>
      <c r="B106" s="670"/>
      <c r="C106" s="670"/>
      <c r="D106" s="670"/>
      <c r="E106" s="670"/>
    </row>
    <row r="107" spans="1:13" ht="21.75" customHeight="1">
      <c r="A107" s="659"/>
      <c r="B107" s="670"/>
      <c r="C107" s="670"/>
      <c r="D107" s="670"/>
      <c r="E107" s="670"/>
      <c r="M107" s="92"/>
    </row>
    <row r="108" spans="1:5" ht="21.75" customHeight="1">
      <c r="A108" s="659"/>
      <c r="B108" s="670"/>
      <c r="C108" s="670"/>
      <c r="D108" s="670"/>
      <c r="E108" s="670"/>
    </row>
    <row r="109" spans="1:13" ht="21.75" customHeight="1">
      <c r="A109" s="659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6" sqref="H16:H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</v>
      </c>
      <c r="D12" s="307">
        <v>6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359</v>
      </c>
      <c r="D13" s="307">
        <v>300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374</v>
      </c>
      <c r="D14" s="307">
        <v>317</v>
      </c>
      <c r="E14" s="236" t="s">
        <v>285</v>
      </c>
      <c r="F14" s="231" t="s">
        <v>286</v>
      </c>
      <c r="G14" s="307">
        <v>1049</v>
      </c>
      <c r="H14" s="307">
        <v>829</v>
      </c>
    </row>
    <row r="15" spans="1:8" ht="15.75">
      <c r="A15" s="185" t="s">
        <v>287</v>
      </c>
      <c r="B15" s="181" t="s">
        <v>288</v>
      </c>
      <c r="C15" s="307">
        <v>381</v>
      </c>
      <c r="D15" s="307">
        <v>337</v>
      </c>
      <c r="E15" s="236" t="s">
        <v>79</v>
      </c>
      <c r="F15" s="231" t="s">
        <v>289</v>
      </c>
      <c r="G15" s="307">
        <v>10</v>
      </c>
      <c r="H15" s="307"/>
    </row>
    <row r="16" spans="1:8" ht="15.75">
      <c r="A16" s="185" t="s">
        <v>290</v>
      </c>
      <c r="B16" s="181" t="s">
        <v>291</v>
      </c>
      <c r="C16" s="307">
        <v>68</v>
      </c>
      <c r="D16" s="307">
        <v>48</v>
      </c>
      <c r="E16" s="227" t="s">
        <v>52</v>
      </c>
      <c r="F16" s="255" t="s">
        <v>292</v>
      </c>
      <c r="G16" s="597">
        <f>SUM(G12:G15)</f>
        <v>1059</v>
      </c>
      <c r="H16" s="598">
        <f>SUM(H12:H15)</f>
        <v>829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8">
        <v>63</v>
      </c>
    </row>
    <row r="19" spans="1:8" ht="15.75">
      <c r="A19" s="185" t="s">
        <v>299</v>
      </c>
      <c r="B19" s="181" t="s">
        <v>300</v>
      </c>
      <c r="C19" s="307">
        <v>3</v>
      </c>
      <c r="D19" s="307">
        <v>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1194</v>
      </c>
      <c r="D22" s="598">
        <f>SUM(D12:D18)+D19</f>
        <v>1014</v>
      </c>
      <c r="E22" s="185" t="s">
        <v>309</v>
      </c>
      <c r="F22" s="228" t="s">
        <v>310</v>
      </c>
      <c r="G22" s="307">
        <v>144</v>
      </c>
      <c r="H22" s="307">
        <v>170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27</v>
      </c>
    </row>
    <row r="25" spans="1:8" ht="31.5">
      <c r="A25" s="185" t="s">
        <v>316</v>
      </c>
      <c r="B25" s="228" t="s">
        <v>317</v>
      </c>
      <c r="C25" s="307">
        <v>429</v>
      </c>
      <c r="D25" s="307">
        <v>442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</v>
      </c>
      <c r="D27" s="307"/>
      <c r="E27" s="227" t="s">
        <v>104</v>
      </c>
      <c r="F27" s="229" t="s">
        <v>326</v>
      </c>
      <c r="G27" s="597">
        <f>SUM(G22:G26)</f>
        <v>144</v>
      </c>
      <c r="H27" s="598">
        <f>SUM(H22:H26)</f>
        <v>197</v>
      </c>
    </row>
    <row r="28" spans="1:8" ht="15.75">
      <c r="A28" s="185" t="s">
        <v>79</v>
      </c>
      <c r="B28" s="228" t="s">
        <v>327</v>
      </c>
      <c r="C28" s="307">
        <v>2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432</v>
      </c>
      <c r="D29" s="598">
        <f>SUM(D25:D28)</f>
        <v>444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1626</v>
      </c>
      <c r="D31" s="604">
        <f>D29+D22</f>
        <v>1458</v>
      </c>
      <c r="E31" s="242" t="s">
        <v>800</v>
      </c>
      <c r="F31" s="257" t="s">
        <v>331</v>
      </c>
      <c r="G31" s="244">
        <f>G16+G18+G27</f>
        <v>1203</v>
      </c>
      <c r="H31" s="245">
        <f>H16+H18+H27</f>
        <v>1089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423</v>
      </c>
      <c r="H33" s="598">
        <f>IF((D31-H31)&gt;0,D31-H31,0)</f>
        <v>369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1626</v>
      </c>
      <c r="D36" s="606">
        <f>D31-D34+D35</f>
        <v>1458</v>
      </c>
      <c r="E36" s="253" t="s">
        <v>346</v>
      </c>
      <c r="F36" s="247" t="s">
        <v>347</v>
      </c>
      <c r="G36" s="258">
        <f>G35-G34+G31</f>
        <v>1203</v>
      </c>
      <c r="H36" s="259">
        <f>H35-H34+H31</f>
        <v>1089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423</v>
      </c>
      <c r="H37" s="245">
        <f>IF((D36-H36)&gt;0,D36-H36,0)</f>
        <v>369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423</v>
      </c>
      <c r="H42" s="235">
        <f>IF(H37&gt;0,IF(D38+H37&lt;0,0,D38+H37),IF(D37-D38&lt;0,D38-D37,0))</f>
        <v>369</v>
      </c>
    </row>
    <row r="43" spans="1:8" ht="15.75">
      <c r="A43" s="224" t="s">
        <v>364</v>
      </c>
      <c r="B43" s="177" t="s">
        <v>365</v>
      </c>
      <c r="C43" s="307">
        <v>4</v>
      </c>
      <c r="D43" s="308"/>
      <c r="E43" s="224" t="s">
        <v>364</v>
      </c>
      <c r="F43" s="186" t="s">
        <v>366</v>
      </c>
      <c r="G43" s="554"/>
      <c r="H43" s="607">
        <v>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427</v>
      </c>
      <c r="H44" s="259">
        <f>IF(D42=0,IF(H42-H43&gt;0,H42-H43+D43,0),IF(D42-D43&lt;0,D43-D42+H43,0))</f>
        <v>363</v>
      </c>
    </row>
    <row r="45" spans="1:8" ht="16.5" thickBot="1">
      <c r="A45" s="261" t="s">
        <v>371</v>
      </c>
      <c r="B45" s="262" t="s">
        <v>372</v>
      </c>
      <c r="C45" s="599">
        <f>C36+C38+C42</f>
        <v>1626</v>
      </c>
      <c r="D45" s="600">
        <f>D36+D38+D42</f>
        <v>1458</v>
      </c>
      <c r="E45" s="261" t="s">
        <v>373</v>
      </c>
      <c r="F45" s="263" t="s">
        <v>374</v>
      </c>
      <c r="G45" s="599">
        <f>G42+G36</f>
        <v>1626</v>
      </c>
      <c r="H45" s="600">
        <f>H42+H36</f>
        <v>1458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71">
        <f>pdeReportingDate</f>
        <v>44797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2" t="str">
        <f>authorName</f>
        <v>Мария Николова</v>
      </c>
      <c r="C52" s="672"/>
      <c r="D52" s="672"/>
      <c r="E52" s="672"/>
      <c r="F52" s="672"/>
      <c r="G52" s="672"/>
      <c r="H52" s="672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59"/>
      <c r="B55" s="670" t="s">
        <v>971</v>
      </c>
      <c r="C55" s="670"/>
      <c r="D55" s="670"/>
      <c r="E55" s="670"/>
      <c r="F55" s="543"/>
      <c r="G55" s="44"/>
      <c r="H55" s="41"/>
    </row>
    <row r="56" spans="1:8" ht="15.75" customHeight="1">
      <c r="A56" s="659"/>
      <c r="B56" s="670"/>
      <c r="C56" s="670"/>
      <c r="D56" s="670"/>
      <c r="E56" s="670"/>
      <c r="F56" s="543"/>
      <c r="G56" s="44"/>
      <c r="H56" s="41"/>
    </row>
    <row r="57" spans="1:8" ht="15.75" customHeight="1">
      <c r="A57" s="659"/>
      <c r="B57" s="670" t="s">
        <v>972</v>
      </c>
      <c r="C57" s="670"/>
      <c r="D57" s="670"/>
      <c r="E57" s="670"/>
      <c r="F57" s="543"/>
      <c r="G57" s="44"/>
      <c r="H57" s="41"/>
    </row>
    <row r="58" spans="1:8" ht="15.75" customHeight="1">
      <c r="A58" s="659"/>
      <c r="B58" s="670"/>
      <c r="C58" s="670"/>
      <c r="D58" s="670"/>
      <c r="E58" s="670"/>
      <c r="F58" s="543"/>
      <c r="G58" s="44"/>
      <c r="H58" s="41"/>
    </row>
    <row r="59" spans="1:8" ht="15.75">
      <c r="A59" s="659"/>
      <c r="B59" s="670"/>
      <c r="C59" s="670"/>
      <c r="D59" s="670"/>
      <c r="E59" s="670"/>
      <c r="F59" s="543"/>
      <c r="G59" s="44"/>
      <c r="H59" s="41"/>
    </row>
    <row r="60" spans="1:8" ht="15.75">
      <c r="A60" s="659"/>
      <c r="B60" s="670"/>
      <c r="C60" s="670"/>
      <c r="D60" s="670"/>
      <c r="E60" s="670"/>
      <c r="F60" s="543"/>
      <c r="G60" s="44"/>
      <c r="H60" s="41"/>
    </row>
    <row r="61" spans="1:8" ht="15.75">
      <c r="A61" s="659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1211</v>
      </c>
      <c r="D11" s="188">
        <v>1221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-730</v>
      </c>
      <c r="D12" s="188">
        <v>-454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-490</v>
      </c>
      <c r="D14" s="188">
        <v>-420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-73</v>
      </c>
      <c r="D15" s="188">
        <v>-61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-165</v>
      </c>
      <c r="D20" s="188">
        <v>90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-253</v>
      </c>
      <c r="D21" s="627">
        <f>SUM(D11:D20)</f>
        <v>376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-162</v>
      </c>
      <c r="D23" s="188">
        <v>-157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-573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-3810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230</v>
      </c>
      <c r="D32" s="188">
        <v>-190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-4315</v>
      </c>
      <c r="D33" s="627">
        <f>SUM(D23:D32)</f>
        <v>-347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9510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-4000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-194</v>
      </c>
      <c r="D40" s="188">
        <v>129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5316</v>
      </c>
      <c r="D43" s="629">
        <f>SUM(D35:D42)</f>
        <v>129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748</v>
      </c>
      <c r="D44" s="298">
        <f>D43+D33+D21</f>
        <v>158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205</v>
      </c>
      <c r="D45" s="300">
        <v>18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953</v>
      </c>
      <c r="D46" s="302">
        <f>D45+D44</f>
        <v>176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953</v>
      </c>
      <c r="D47" s="289">
        <v>176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71">
        <f>pdeReportingDate</f>
        <v>44797</v>
      </c>
      <c r="C54" s="671"/>
      <c r="D54" s="671"/>
      <c r="E54" s="671"/>
      <c r="F54" s="660"/>
      <c r="G54" s="660"/>
      <c r="H54" s="660"/>
      <c r="M54" s="92"/>
    </row>
    <row r="55" spans="1:13" s="41" customFormat="1" ht="15.75">
      <c r="A55" s="657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58" t="s">
        <v>8</v>
      </c>
      <c r="B56" s="672" t="str">
        <f>authorName</f>
        <v>Мария Николова</v>
      </c>
      <c r="C56" s="672"/>
      <c r="D56" s="672"/>
      <c r="E56" s="672"/>
      <c r="F56" s="75"/>
      <c r="G56" s="75"/>
      <c r="H56" s="75"/>
    </row>
    <row r="57" spans="1:8" s="41" customFormat="1" ht="15.75">
      <c r="A57" s="658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58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59"/>
      <c r="B59" s="670" t="s">
        <v>971</v>
      </c>
      <c r="C59" s="670"/>
      <c r="D59" s="670"/>
      <c r="E59" s="670"/>
      <c r="F59" s="543"/>
      <c r="G59" s="44"/>
      <c r="H59" s="41"/>
    </row>
    <row r="60" spans="1:8" ht="15.75">
      <c r="A60" s="659"/>
      <c r="B60" s="670"/>
      <c r="C60" s="670"/>
      <c r="D60" s="670"/>
      <c r="E60" s="670"/>
      <c r="F60" s="543"/>
      <c r="G60" s="44"/>
      <c r="H60" s="41"/>
    </row>
    <row r="61" spans="1:8" ht="15.75">
      <c r="A61" s="659"/>
      <c r="B61" s="670" t="s">
        <v>972</v>
      </c>
      <c r="C61" s="670"/>
      <c r="D61" s="670"/>
      <c r="E61" s="670"/>
      <c r="F61" s="543"/>
      <c r="G61" s="44"/>
      <c r="H61" s="41"/>
    </row>
    <row r="62" spans="1:8" ht="15.75">
      <c r="A62" s="659"/>
      <c r="B62" s="670"/>
      <c r="C62" s="670"/>
      <c r="D62" s="670"/>
      <c r="E62" s="670"/>
      <c r="F62" s="543"/>
      <c r="G62" s="44"/>
      <c r="H62" s="41"/>
    </row>
    <row r="63" spans="1:8" ht="15.75">
      <c r="A63" s="659"/>
      <c r="B63" s="670"/>
      <c r="C63" s="670"/>
      <c r="D63" s="670"/>
      <c r="E63" s="670"/>
      <c r="F63" s="543"/>
      <c r="G63" s="44"/>
      <c r="H63" s="41"/>
    </row>
    <row r="64" spans="1:8" ht="15.75">
      <c r="A64" s="659"/>
      <c r="B64" s="670"/>
      <c r="C64" s="670"/>
      <c r="D64" s="670"/>
      <c r="E64" s="670"/>
      <c r="F64" s="543"/>
      <c r="G64" s="44"/>
      <c r="H64" s="41"/>
    </row>
    <row r="65" spans="1:8" ht="15.75">
      <c r="A65" s="659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2840</v>
      </c>
      <c r="D13" s="553">
        <f>'1-Баланс'!H20</f>
        <v>53</v>
      </c>
      <c r="E13" s="553">
        <f>'1-Баланс'!H21</f>
        <v>354</v>
      </c>
      <c r="F13" s="553">
        <f>'1-Баланс'!H23</f>
        <v>18</v>
      </c>
      <c r="G13" s="553">
        <f>'1-Баланс'!H24</f>
        <v>0</v>
      </c>
      <c r="H13" s="554">
        <v>4000</v>
      </c>
      <c r="I13" s="553">
        <f>'1-Баланс'!H29+'1-Баланс'!H32</f>
        <v>0</v>
      </c>
      <c r="J13" s="553">
        <f>'1-Баланс'!H30+'1-Баланс'!H33</f>
        <v>-5792</v>
      </c>
      <c r="K13" s="554"/>
      <c r="L13" s="553">
        <f>SUM(C13:K13)</f>
        <v>1473</v>
      </c>
      <c r="M13" s="555">
        <f>'1-Баланс'!H40</f>
        <v>-39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2840</v>
      </c>
      <c r="D17" s="621">
        <f aca="true" t="shared" si="2" ref="D17:M17">D13+D14</f>
        <v>53</v>
      </c>
      <c r="E17" s="621">
        <f t="shared" si="2"/>
        <v>354</v>
      </c>
      <c r="F17" s="621">
        <f t="shared" si="2"/>
        <v>18</v>
      </c>
      <c r="G17" s="621">
        <f t="shared" si="2"/>
        <v>0</v>
      </c>
      <c r="H17" s="621">
        <f t="shared" si="2"/>
        <v>4000</v>
      </c>
      <c r="I17" s="621">
        <f t="shared" si="2"/>
        <v>0</v>
      </c>
      <c r="J17" s="621">
        <f t="shared" si="2"/>
        <v>-5792</v>
      </c>
      <c r="K17" s="621">
        <f t="shared" si="2"/>
        <v>0</v>
      </c>
      <c r="L17" s="553">
        <f t="shared" si="1"/>
        <v>1473</v>
      </c>
      <c r="M17" s="622">
        <f t="shared" si="2"/>
        <v>-39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-427</v>
      </c>
      <c r="K18" s="554"/>
      <c r="L18" s="553">
        <f t="shared" si="1"/>
        <v>-427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5000</v>
      </c>
      <c r="D30" s="307">
        <v>4000</v>
      </c>
      <c r="E30" s="307"/>
      <c r="F30" s="307"/>
      <c r="G30" s="307"/>
      <c r="H30" s="307">
        <v>-4000</v>
      </c>
      <c r="I30" s="307"/>
      <c r="J30" s="307"/>
      <c r="K30" s="307"/>
      <c r="L30" s="553">
        <f t="shared" si="1"/>
        <v>5000</v>
      </c>
      <c r="M30" s="308">
        <v>4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7840</v>
      </c>
      <c r="D31" s="621">
        <f aca="true" t="shared" si="6" ref="D31:M31">D19+D22+D23+D26+D30+D29+D17+D18</f>
        <v>4053</v>
      </c>
      <c r="E31" s="621">
        <f t="shared" si="6"/>
        <v>354</v>
      </c>
      <c r="F31" s="621">
        <f t="shared" si="6"/>
        <v>18</v>
      </c>
      <c r="G31" s="621">
        <f t="shared" si="6"/>
        <v>0</v>
      </c>
      <c r="H31" s="621">
        <f t="shared" si="6"/>
        <v>0</v>
      </c>
      <c r="I31" s="621">
        <f t="shared" si="6"/>
        <v>0</v>
      </c>
      <c r="J31" s="621">
        <f t="shared" si="6"/>
        <v>-6219</v>
      </c>
      <c r="K31" s="621">
        <f t="shared" si="6"/>
        <v>0</v>
      </c>
      <c r="L31" s="553">
        <f t="shared" si="1"/>
        <v>6046</v>
      </c>
      <c r="M31" s="622">
        <f t="shared" si="6"/>
        <v>-35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7840</v>
      </c>
      <c r="D34" s="556">
        <f t="shared" si="7"/>
        <v>4053</v>
      </c>
      <c r="E34" s="556">
        <f t="shared" si="7"/>
        <v>354</v>
      </c>
      <c r="F34" s="556">
        <f t="shared" si="7"/>
        <v>18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-6219</v>
      </c>
      <c r="K34" s="556">
        <f t="shared" si="7"/>
        <v>0</v>
      </c>
      <c r="L34" s="619">
        <f t="shared" si="1"/>
        <v>6046</v>
      </c>
      <c r="M34" s="557">
        <f>M31+M32+M33</f>
        <v>-35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71">
        <f>pdeReportingDate</f>
        <v>44797</v>
      </c>
      <c r="C38" s="671"/>
      <c r="D38" s="671"/>
      <c r="E38" s="671"/>
      <c r="F38" s="671"/>
      <c r="G38" s="671"/>
      <c r="H38" s="671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2" t="str">
        <f>authorName</f>
        <v>Мария Николова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59"/>
      <c r="B43" s="670" t="s">
        <v>971</v>
      </c>
      <c r="C43" s="670"/>
      <c r="D43" s="670"/>
      <c r="E43" s="670"/>
      <c r="F43" s="543"/>
      <c r="G43" s="44"/>
      <c r="H43" s="41"/>
      <c r="M43" s="160"/>
    </row>
    <row r="44" spans="1:13" ht="15.75">
      <c r="A44" s="659"/>
      <c r="B44" s="670"/>
      <c r="C44" s="670"/>
      <c r="D44" s="670"/>
      <c r="E44" s="670"/>
      <c r="F44" s="543"/>
      <c r="G44" s="44"/>
      <c r="H44" s="41"/>
      <c r="M44" s="160"/>
    </row>
    <row r="45" spans="1:13" ht="15.75">
      <c r="A45" s="659"/>
      <c r="B45" s="670" t="s">
        <v>972</v>
      </c>
      <c r="C45" s="670"/>
      <c r="D45" s="670"/>
      <c r="E45" s="670"/>
      <c r="F45" s="543"/>
      <c r="G45" s="44"/>
      <c r="H45" s="41"/>
      <c r="M45" s="160"/>
    </row>
    <row r="46" spans="1:13" ht="15.75">
      <c r="A46" s="659"/>
      <c r="B46" s="670"/>
      <c r="C46" s="670"/>
      <c r="D46" s="670"/>
      <c r="E46" s="670"/>
      <c r="F46" s="543"/>
      <c r="G46" s="44"/>
      <c r="H46" s="41"/>
      <c r="M46" s="160"/>
    </row>
    <row r="47" spans="1:13" ht="15.75">
      <c r="A47" s="659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59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59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9" sqref="L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33</v>
      </c>
      <c r="E13" s="319"/>
      <c r="F13" s="319"/>
      <c r="G13" s="320">
        <f t="shared" si="2"/>
        <v>33</v>
      </c>
      <c r="H13" s="319"/>
      <c r="I13" s="319"/>
      <c r="J13" s="320">
        <f t="shared" si="3"/>
        <v>33</v>
      </c>
      <c r="K13" s="319">
        <v>33</v>
      </c>
      <c r="L13" s="319"/>
      <c r="M13" s="319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9</v>
      </c>
      <c r="E16" s="319">
        <v>12</v>
      </c>
      <c r="F16" s="319"/>
      <c r="G16" s="320">
        <f t="shared" si="2"/>
        <v>21</v>
      </c>
      <c r="H16" s="319"/>
      <c r="I16" s="319"/>
      <c r="J16" s="320">
        <f t="shared" si="3"/>
        <v>21</v>
      </c>
      <c r="K16" s="319">
        <v>8</v>
      </c>
      <c r="L16" s="319">
        <v>6</v>
      </c>
      <c r="M16" s="319"/>
      <c r="N16" s="320">
        <f t="shared" si="4"/>
        <v>14</v>
      </c>
      <c r="O16" s="319"/>
      <c r="P16" s="319"/>
      <c r="Q16" s="320">
        <f t="shared" si="0"/>
        <v>14</v>
      </c>
      <c r="R16" s="331">
        <f t="shared" si="1"/>
        <v>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27</v>
      </c>
      <c r="E18" s="319">
        <v>23</v>
      </c>
      <c r="F18" s="319"/>
      <c r="G18" s="320">
        <f t="shared" si="2"/>
        <v>50</v>
      </c>
      <c r="H18" s="319"/>
      <c r="I18" s="319"/>
      <c r="J18" s="320">
        <f t="shared" si="3"/>
        <v>50</v>
      </c>
      <c r="K18" s="319">
        <v>17</v>
      </c>
      <c r="L18" s="319">
        <v>14</v>
      </c>
      <c r="M18" s="319"/>
      <c r="N18" s="320">
        <f t="shared" si="4"/>
        <v>31</v>
      </c>
      <c r="O18" s="319"/>
      <c r="P18" s="319"/>
      <c r="Q18" s="320">
        <f t="shared" si="0"/>
        <v>31</v>
      </c>
      <c r="R18" s="331">
        <f t="shared" si="1"/>
        <v>19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69</v>
      </c>
      <c r="E19" s="321">
        <f>SUM(E11:E18)</f>
        <v>35</v>
      </c>
      <c r="F19" s="321">
        <f>SUM(F11:F18)</f>
        <v>0</v>
      </c>
      <c r="G19" s="320">
        <f t="shared" si="2"/>
        <v>104</v>
      </c>
      <c r="H19" s="321">
        <f>SUM(H11:H18)</f>
        <v>0</v>
      </c>
      <c r="I19" s="321">
        <f>SUM(I11:I18)</f>
        <v>0</v>
      </c>
      <c r="J19" s="320">
        <f t="shared" si="3"/>
        <v>104</v>
      </c>
      <c r="K19" s="321">
        <f>SUM(K11:K18)</f>
        <v>58</v>
      </c>
      <c r="L19" s="321">
        <f>SUM(L11:L18)</f>
        <v>20</v>
      </c>
      <c r="M19" s="321">
        <f>SUM(M11:M18)</f>
        <v>0</v>
      </c>
      <c r="N19" s="320">
        <f t="shared" si="4"/>
        <v>78</v>
      </c>
      <c r="O19" s="321">
        <f>SUM(O11:O18)</f>
        <v>0</v>
      </c>
      <c r="P19" s="321">
        <f>SUM(P11:P18)</f>
        <v>0</v>
      </c>
      <c r="Q19" s="320">
        <f t="shared" si="0"/>
        <v>78</v>
      </c>
      <c r="R19" s="331">
        <f t="shared" si="1"/>
        <v>26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</v>
      </c>
      <c r="E24" s="319"/>
      <c r="F24" s="319"/>
      <c r="G24" s="320">
        <f t="shared" si="2"/>
        <v>2</v>
      </c>
      <c r="H24" s="319"/>
      <c r="I24" s="319"/>
      <c r="J24" s="320">
        <f t="shared" si="3"/>
        <v>2</v>
      </c>
      <c r="K24" s="319">
        <v>2</v>
      </c>
      <c r="L24" s="319"/>
      <c r="M24" s="319"/>
      <c r="N24" s="320">
        <f t="shared" si="4"/>
        <v>2</v>
      </c>
      <c r="O24" s="319"/>
      <c r="P24" s="319"/>
      <c r="Q24" s="320">
        <f t="shared" si="0"/>
        <v>2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669">
        <f>6734</f>
        <v>6734</v>
      </c>
      <c r="E26" s="669">
        <f>162+378</f>
        <v>540</v>
      </c>
      <c r="F26" s="319"/>
      <c r="G26" s="320">
        <f t="shared" si="2"/>
        <v>7274</v>
      </c>
      <c r="H26" s="319"/>
      <c r="I26" s="319"/>
      <c r="J26" s="320">
        <f t="shared" si="3"/>
        <v>7274</v>
      </c>
      <c r="K26" s="668">
        <v>4615</v>
      </c>
      <c r="L26" s="668">
        <f>358+12</f>
        <v>370</v>
      </c>
      <c r="M26" s="319"/>
      <c r="N26" s="320">
        <f t="shared" si="4"/>
        <v>4985</v>
      </c>
      <c r="O26" s="319"/>
      <c r="P26" s="319"/>
      <c r="Q26" s="320">
        <f t="shared" si="0"/>
        <v>4985</v>
      </c>
      <c r="R26" s="331">
        <f t="shared" si="1"/>
        <v>2289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6736</v>
      </c>
      <c r="E27" s="323">
        <f aca="true" t="shared" si="5" ref="E27:P27">SUM(E23:E26)</f>
        <v>540</v>
      </c>
      <c r="F27" s="323">
        <f t="shared" si="5"/>
        <v>0</v>
      </c>
      <c r="G27" s="324">
        <f t="shared" si="2"/>
        <v>7276</v>
      </c>
      <c r="H27" s="323">
        <f t="shared" si="5"/>
        <v>0</v>
      </c>
      <c r="I27" s="323">
        <f t="shared" si="5"/>
        <v>0</v>
      </c>
      <c r="J27" s="324">
        <f t="shared" si="3"/>
        <v>7276</v>
      </c>
      <c r="K27" s="323">
        <f t="shared" si="5"/>
        <v>4617</v>
      </c>
      <c r="L27" s="323">
        <f t="shared" si="5"/>
        <v>370</v>
      </c>
      <c r="M27" s="323">
        <f t="shared" si="5"/>
        <v>0</v>
      </c>
      <c r="N27" s="324">
        <f t="shared" si="4"/>
        <v>4987</v>
      </c>
      <c r="O27" s="323">
        <f t="shared" si="5"/>
        <v>0</v>
      </c>
      <c r="P27" s="323">
        <f t="shared" si="5"/>
        <v>0</v>
      </c>
      <c r="Q27" s="324">
        <f t="shared" si="0"/>
        <v>4987</v>
      </c>
      <c r="R27" s="334">
        <f t="shared" si="1"/>
        <v>2289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301</v>
      </c>
      <c r="E41" s="319">
        <v>2829</v>
      </c>
      <c r="F41" s="319"/>
      <c r="G41" s="320">
        <f t="shared" si="2"/>
        <v>3130</v>
      </c>
      <c r="H41" s="319"/>
      <c r="I41" s="319"/>
      <c r="J41" s="320">
        <f t="shared" si="3"/>
        <v>3130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3130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7106</v>
      </c>
      <c r="E42" s="340">
        <f>E19+E20+E21+E27+E40+E41</f>
        <v>3404</v>
      </c>
      <c r="F42" s="340">
        <f aca="true" t="shared" si="11" ref="F42:R42">F19+F20+F21+F27+F40+F41</f>
        <v>0</v>
      </c>
      <c r="G42" s="340">
        <f t="shared" si="11"/>
        <v>10510</v>
      </c>
      <c r="H42" s="340">
        <f t="shared" si="11"/>
        <v>0</v>
      </c>
      <c r="I42" s="340">
        <f t="shared" si="11"/>
        <v>0</v>
      </c>
      <c r="J42" s="340">
        <f t="shared" si="11"/>
        <v>10510</v>
      </c>
      <c r="K42" s="340">
        <f t="shared" si="11"/>
        <v>4675</v>
      </c>
      <c r="L42" s="340">
        <f t="shared" si="11"/>
        <v>390</v>
      </c>
      <c r="M42" s="340">
        <f t="shared" si="11"/>
        <v>0</v>
      </c>
      <c r="N42" s="340">
        <f t="shared" si="11"/>
        <v>5065</v>
      </c>
      <c r="O42" s="340">
        <f t="shared" si="11"/>
        <v>0</v>
      </c>
      <c r="P42" s="340">
        <f t="shared" si="11"/>
        <v>0</v>
      </c>
      <c r="Q42" s="340">
        <f t="shared" si="11"/>
        <v>5065</v>
      </c>
      <c r="R42" s="341">
        <f t="shared" si="11"/>
        <v>5445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71">
        <f>pdeReportingDate</f>
        <v>44797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2" t="str">
        <f>authorName</f>
        <v>Мария Николова</v>
      </c>
      <c r="D47" s="672"/>
      <c r="E47" s="672"/>
      <c r="F47" s="672"/>
      <c r="G47" s="672"/>
      <c r="H47" s="672"/>
      <c r="I47" s="672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59"/>
      <c r="C50" s="670" t="s">
        <v>971</v>
      </c>
      <c r="D50" s="670"/>
      <c r="E50" s="670"/>
      <c r="F50" s="670"/>
      <c r="G50" s="543"/>
      <c r="H50" s="44"/>
      <c r="I50" s="41"/>
    </row>
    <row r="51" spans="2:9" ht="15.75">
      <c r="B51" s="659"/>
      <c r="C51" s="670"/>
      <c r="D51" s="670"/>
      <c r="E51" s="670"/>
      <c r="F51" s="670"/>
      <c r="G51" s="543"/>
      <c r="H51" s="44"/>
      <c r="I51" s="41"/>
    </row>
    <row r="52" spans="2:9" ht="15.75">
      <c r="B52" s="659"/>
      <c r="C52" s="670" t="s">
        <v>972</v>
      </c>
      <c r="D52" s="670"/>
      <c r="E52" s="670"/>
      <c r="F52" s="670"/>
      <c r="G52" s="543"/>
      <c r="H52" s="44"/>
      <c r="I52" s="41"/>
    </row>
    <row r="53" spans="2:9" ht="15.75">
      <c r="B53" s="659"/>
      <c r="C53" s="670"/>
      <c r="D53" s="670"/>
      <c r="E53" s="670"/>
      <c r="F53" s="670"/>
      <c r="G53" s="543"/>
      <c r="H53" s="44"/>
      <c r="I53" s="41"/>
    </row>
    <row r="54" spans="2:9" ht="15.75">
      <c r="B54" s="659"/>
      <c r="C54" s="670"/>
      <c r="D54" s="670"/>
      <c r="E54" s="670"/>
      <c r="F54" s="670"/>
      <c r="G54" s="543"/>
      <c r="H54" s="44"/>
      <c r="I54" s="41"/>
    </row>
    <row r="55" spans="2:9" ht="15.75">
      <c r="B55" s="659"/>
      <c r="C55" s="670"/>
      <c r="D55" s="670"/>
      <c r="E55" s="670"/>
      <c r="F55" s="670"/>
      <c r="G55" s="543"/>
      <c r="H55" s="44"/>
      <c r="I55" s="41"/>
    </row>
    <row r="56" spans="2:9" ht="15.75">
      <c r="B56" s="659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6">
      <selection activeCell="C95" sqref="C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298</v>
      </c>
      <c r="D30" s="359">
        <v>298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12681</v>
      </c>
      <c r="D40" s="353">
        <f>SUM(D41:D44)</f>
        <v>12681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12681</v>
      </c>
      <c r="D44" s="359">
        <v>12681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12979</v>
      </c>
      <c r="D45" s="429">
        <f>D26+D30+D31+D33+D32+D34+D35+D40</f>
        <v>12979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12979</v>
      </c>
      <c r="D46" s="435">
        <f>D45+D23+D21+D11</f>
        <v>12979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348</v>
      </c>
      <c r="D64" s="188">
        <v>348</v>
      </c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10000</v>
      </c>
      <c r="D65" s="188">
        <v>10000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10348</v>
      </c>
      <c r="D68" s="426">
        <f>D54+D58+D63+D64+D65+D66</f>
        <v>10348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2534</v>
      </c>
      <c r="D82" s="129">
        <f>SUM(D83:D86)</f>
        <v>2534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2534</v>
      </c>
      <c r="D84" s="188">
        <v>2534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447</v>
      </c>
      <c r="D87" s="125">
        <f>SUM(D88:D92)+D96</f>
        <v>447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177</v>
      </c>
      <c r="D88" s="188">
        <v>177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</v>
      </c>
      <c r="D89" s="188">
        <v>37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164</v>
      </c>
      <c r="D91" s="188">
        <v>164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47</v>
      </c>
      <c r="D92" s="129">
        <f>SUM(D93:D95)</f>
        <v>47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24</v>
      </c>
      <c r="D94" s="188">
        <v>24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</v>
      </c>
      <c r="D95" s="188">
        <v>23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</v>
      </c>
      <c r="D96" s="188">
        <v>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73</v>
      </c>
      <c r="D97" s="188">
        <v>73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3056</v>
      </c>
      <c r="D98" s="424">
        <f>D87+D82+D77+D73+D97</f>
        <v>3056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13404</v>
      </c>
      <c r="D99" s="418">
        <f>D98+D70+D68</f>
        <v>13404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71">
        <f>pdeReportingDate</f>
        <v>44797</v>
      </c>
      <c r="C111" s="671"/>
      <c r="D111" s="671"/>
      <c r="E111" s="671"/>
      <c r="F111" s="671"/>
      <c r="G111" s="51"/>
      <c r="H111" s="51"/>
    </row>
    <row r="112" spans="1:8" ht="15.75">
      <c r="A112" s="657"/>
      <c r="B112" s="671"/>
      <c r="C112" s="671"/>
      <c r="D112" s="671"/>
      <c r="E112" s="671"/>
      <c r="F112" s="671"/>
      <c r="G112" s="51"/>
      <c r="H112" s="51"/>
    </row>
    <row r="113" spans="1:8" ht="15.75">
      <c r="A113" s="658" t="s">
        <v>8</v>
      </c>
      <c r="B113" s="672" t="str">
        <f>authorName</f>
        <v>Мария Николова</v>
      </c>
      <c r="C113" s="672"/>
      <c r="D113" s="672"/>
      <c r="E113" s="672"/>
      <c r="F113" s="672"/>
      <c r="G113" s="75"/>
      <c r="H113" s="75"/>
    </row>
    <row r="114" spans="1:8" ht="15.75">
      <c r="A114" s="658"/>
      <c r="B114" s="672"/>
      <c r="C114" s="672"/>
      <c r="D114" s="672"/>
      <c r="E114" s="672"/>
      <c r="F114" s="672"/>
      <c r="G114" s="75"/>
      <c r="H114" s="75"/>
    </row>
    <row r="115" spans="1:8" ht="15.75">
      <c r="A115" s="658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59"/>
      <c r="B116" s="670" t="s">
        <v>971</v>
      </c>
      <c r="C116" s="670"/>
      <c r="D116" s="670"/>
      <c r="E116" s="670"/>
      <c r="F116" s="670"/>
      <c r="G116" s="659"/>
      <c r="H116" s="659"/>
    </row>
    <row r="117" spans="1:8" ht="15.75" customHeight="1">
      <c r="A117" s="659"/>
      <c r="B117" s="670"/>
      <c r="C117" s="670"/>
      <c r="D117" s="670"/>
      <c r="E117" s="670"/>
      <c r="F117" s="670"/>
      <c r="G117" s="659"/>
      <c r="H117" s="659"/>
    </row>
    <row r="118" spans="1:8" ht="15.75" customHeight="1">
      <c r="A118" s="659"/>
      <c r="B118" s="670" t="s">
        <v>972</v>
      </c>
      <c r="C118" s="670"/>
      <c r="D118" s="670"/>
      <c r="E118" s="670"/>
      <c r="F118" s="670"/>
      <c r="G118" s="659"/>
      <c r="H118" s="659"/>
    </row>
    <row r="119" spans="1:8" ht="15.75" customHeight="1">
      <c r="A119" s="659"/>
      <c r="B119" s="670"/>
      <c r="C119" s="670"/>
      <c r="D119" s="670"/>
      <c r="E119" s="670"/>
      <c r="F119" s="670"/>
      <c r="G119" s="659"/>
      <c r="H119" s="659"/>
    </row>
    <row r="120" spans="1:8" ht="15.75">
      <c r="A120" s="659"/>
      <c r="B120" s="670"/>
      <c r="C120" s="670"/>
      <c r="D120" s="670"/>
      <c r="E120" s="670"/>
      <c r="F120" s="670"/>
      <c r="G120" s="659"/>
      <c r="H120" s="659"/>
    </row>
    <row r="121" spans="1:8" ht="15.75">
      <c r="A121" s="659"/>
      <c r="B121" s="670"/>
      <c r="C121" s="670"/>
      <c r="D121" s="670"/>
      <c r="E121" s="670"/>
      <c r="F121" s="670"/>
      <c r="G121" s="659"/>
      <c r="H121" s="659"/>
    </row>
    <row r="122" spans="1:8" ht="15.75">
      <c r="A122" s="659"/>
      <c r="B122" s="670"/>
      <c r="C122" s="670"/>
      <c r="D122" s="670"/>
      <c r="E122" s="670"/>
      <c r="F122" s="670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71">
        <f>pdeReportingDate</f>
        <v>44797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57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58" t="s">
        <v>8</v>
      </c>
      <c r="B33" s="672" t="str">
        <f>authorName</f>
        <v>Мария Николова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58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.75">
      <c r="A35" s="658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59"/>
      <c r="B36" s="670" t="s">
        <v>971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59"/>
      <c r="B37" s="670"/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59"/>
      <c r="B38" s="670" t="s">
        <v>972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59"/>
      <c r="B39" s="670"/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59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59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59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30.06.2022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955</v>
      </c>
      <c r="B6" s="635" t="s">
        <v>919</v>
      </c>
      <c r="C6" s="642">
        <f>'1-Баланс'!C95</f>
        <v>19416</v>
      </c>
      <c r="D6" s="643">
        <f aca="true" t="shared" si="0" ref="D6:D15">C6-E6</f>
        <v>0</v>
      </c>
      <c r="E6" s="642">
        <f>'1-Баланс'!G95</f>
        <v>19416</v>
      </c>
      <c r="F6" s="636" t="s">
        <v>920</v>
      </c>
      <c r="G6" s="644" t="s">
        <v>955</v>
      </c>
    </row>
    <row r="7" spans="1:7" ht="18.75" customHeight="1">
      <c r="A7" s="644" t="s">
        <v>955</v>
      </c>
      <c r="B7" s="635" t="s">
        <v>918</v>
      </c>
      <c r="C7" s="642">
        <f>'1-Баланс'!G37</f>
        <v>6046</v>
      </c>
      <c r="D7" s="643">
        <f t="shared" si="0"/>
        <v>-1794</v>
      </c>
      <c r="E7" s="642">
        <f>'1-Баланс'!G18</f>
        <v>7840</v>
      </c>
      <c r="F7" s="636" t="s">
        <v>455</v>
      </c>
      <c r="G7" s="644" t="s">
        <v>955</v>
      </c>
    </row>
    <row r="8" spans="1:7" ht="18.75" customHeight="1">
      <c r="A8" s="644" t="s">
        <v>955</v>
      </c>
      <c r="B8" s="635" t="s">
        <v>916</v>
      </c>
      <c r="C8" s="642">
        <f>ABS('1-Баланс'!G32)-ABS('1-Баланс'!G33)</f>
        <v>-427</v>
      </c>
      <c r="D8" s="643">
        <f t="shared" si="0"/>
        <v>0</v>
      </c>
      <c r="E8" s="642">
        <f>ABS('2-Отчет за доходите'!C44)-ABS('2-Отчет за доходите'!G44)</f>
        <v>-427</v>
      </c>
      <c r="F8" s="636" t="s">
        <v>917</v>
      </c>
      <c r="G8" s="645" t="s">
        <v>957</v>
      </c>
    </row>
    <row r="9" spans="1:7" ht="18.75" customHeight="1">
      <c r="A9" s="644" t="s">
        <v>955</v>
      </c>
      <c r="B9" s="635" t="s">
        <v>922</v>
      </c>
      <c r="C9" s="642">
        <f>'1-Баланс'!D92</f>
        <v>205</v>
      </c>
      <c r="D9" s="643">
        <f t="shared" si="0"/>
        <v>0</v>
      </c>
      <c r="E9" s="642">
        <f>'3-Отчет за паричния поток'!C45</f>
        <v>205</v>
      </c>
      <c r="F9" s="636" t="s">
        <v>921</v>
      </c>
      <c r="G9" s="645" t="s">
        <v>956</v>
      </c>
    </row>
    <row r="10" spans="1:7" ht="18.75" customHeight="1">
      <c r="A10" s="644" t="s">
        <v>955</v>
      </c>
      <c r="B10" s="635" t="s">
        <v>923</v>
      </c>
      <c r="C10" s="642">
        <f>'1-Баланс'!C92</f>
        <v>953</v>
      </c>
      <c r="D10" s="643">
        <f t="shared" si="0"/>
        <v>0</v>
      </c>
      <c r="E10" s="642">
        <f>'3-Отчет за паричния поток'!C46</f>
        <v>953</v>
      </c>
      <c r="F10" s="636" t="s">
        <v>924</v>
      </c>
      <c r="G10" s="645" t="s">
        <v>956</v>
      </c>
    </row>
    <row r="11" spans="1:7" ht="18.75" customHeight="1">
      <c r="A11" s="644" t="s">
        <v>955</v>
      </c>
      <c r="B11" s="635" t="s">
        <v>918</v>
      </c>
      <c r="C11" s="642">
        <f>'1-Баланс'!G37</f>
        <v>6046</v>
      </c>
      <c r="D11" s="643">
        <f t="shared" si="0"/>
        <v>0</v>
      </c>
      <c r="E11" s="642">
        <f>'4-Отчет за собствения капитал'!L34</f>
        <v>6046</v>
      </c>
      <c r="F11" s="636" t="s">
        <v>925</v>
      </c>
      <c r="G11" s="645" t="s">
        <v>958</v>
      </c>
    </row>
    <row r="12" spans="1:7" ht="18.75" customHeight="1">
      <c r="A12" s="644" t="s">
        <v>955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959</v>
      </c>
    </row>
    <row r="13" spans="1:7" ht="18.75" customHeight="1">
      <c r="A13" s="644" t="s">
        <v>955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959</v>
      </c>
    </row>
    <row r="14" spans="1:7" ht="18.75" customHeight="1">
      <c r="A14" s="644" t="s">
        <v>955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959</v>
      </c>
    </row>
    <row r="15" spans="1:7" ht="18.75" customHeight="1">
      <c r="A15" s="644" t="s">
        <v>955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2022-08-24T13:01:20Z</dcterms:modified>
  <cp:category/>
  <cp:version/>
  <cp:contentType/>
  <cp:contentStatus/>
</cp:coreProperties>
</file>