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codeName="ThisWorkbook"/>
  <mc:AlternateContent xmlns:mc="http://schemas.openxmlformats.org/markup-compatibility/2006">
    <mc:Choice Requires="x15">
      <x15ac:absPath xmlns:x15ac="http://schemas.microsoft.com/office/spreadsheetml/2010/11/ac" url="Q:\Ekaterina  Ekip\otch-avstriiski-trimesechni\KFN\Q2.2016\WKS\To disclose\"/>
    </mc:Choice>
  </mc:AlternateContent>
  <bookViews>
    <workbookView xWindow="0" yWindow="2085" windowWidth="10800" windowHeight="4110" tabRatio="862" firstSheet="2" activeTab="5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62913"/>
</workbook>
</file>

<file path=xl/calcChain.xml><?xml version="1.0" encoding="utf-8"?>
<calcChain xmlns="http://schemas.openxmlformats.org/spreadsheetml/2006/main">
  <c r="D16" i="2" l="1"/>
  <c r="C21" i="6" l="1"/>
  <c r="C42" i="6"/>
  <c r="D24" i="5" l="1"/>
  <c r="K12" i="5"/>
  <c r="D12" i="5"/>
  <c r="K11" i="5"/>
  <c r="D11" i="5"/>
  <c r="H62" i="1"/>
  <c r="H44" i="1"/>
  <c r="G44" i="1"/>
  <c r="H29" i="1"/>
  <c r="G29" i="1"/>
  <c r="C13" i="1"/>
  <c r="D13" i="1"/>
  <c r="C53" i="6" l="1"/>
  <c r="C36" i="6"/>
  <c r="C46" i="3" l="1"/>
  <c r="C104" i="6" l="1"/>
  <c r="C28" i="6" l="1"/>
  <c r="C57" i="6"/>
  <c r="C64" i="6"/>
  <c r="C68" i="6"/>
  <c r="C95" i="6"/>
  <c r="C93" i="6"/>
  <c r="C87" i="6"/>
  <c r="C74" i="6"/>
  <c r="C83" i="6"/>
  <c r="C19" i="2" l="1"/>
  <c r="H27" i="1"/>
  <c r="G27" i="1"/>
  <c r="H21" i="1"/>
  <c r="H25" i="1" s="1"/>
  <c r="G21" i="1"/>
  <c r="G25" i="1" s="1"/>
  <c r="H17" i="1"/>
  <c r="C11" i="4" s="1"/>
  <c r="G17" i="1"/>
  <c r="C39" i="1"/>
  <c r="C34" i="1"/>
  <c r="C45" i="1" s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45" i="1" s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28" i="2" s="1"/>
  <c r="C33" i="2" s="1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5" i="4" s="1"/>
  <c r="M17" i="4"/>
  <c r="M21" i="4"/>
  <c r="M24" i="4"/>
  <c r="D17" i="4"/>
  <c r="D21" i="4"/>
  <c r="D24" i="4"/>
  <c r="D11" i="4"/>
  <c r="D12" i="4"/>
  <c r="E11" i="4"/>
  <c r="E12" i="4"/>
  <c r="E17" i="4"/>
  <c r="E21" i="4"/>
  <c r="E24" i="4"/>
  <c r="F11" i="4"/>
  <c r="F12" i="4"/>
  <c r="F15" i="4"/>
  <c r="F21" i="4"/>
  <c r="F24" i="4"/>
  <c r="G11" i="4"/>
  <c r="G12" i="4"/>
  <c r="G15" i="4" s="1"/>
  <c r="G17" i="4"/>
  <c r="G29" i="4" s="1"/>
  <c r="G32" i="4" s="1"/>
  <c r="G21" i="4"/>
  <c r="G24" i="4"/>
  <c r="H12" i="4"/>
  <c r="H15" i="4" s="1"/>
  <c r="H17" i="4"/>
  <c r="H29" i="4" s="1"/>
  <c r="H32" i="4" s="1"/>
  <c r="H21" i="4"/>
  <c r="H24" i="4"/>
  <c r="I12" i="4"/>
  <c r="I17" i="4"/>
  <c r="I21" i="4"/>
  <c r="I24" i="4"/>
  <c r="J12" i="4"/>
  <c r="J17" i="4"/>
  <c r="J21" i="4"/>
  <c r="J24" i="4"/>
  <c r="K17" i="4"/>
  <c r="K21" i="4"/>
  <c r="K24" i="4"/>
  <c r="K12" i="4"/>
  <c r="K15" i="4" s="1"/>
  <c r="K29" i="4"/>
  <c r="K32" i="4" s="1"/>
  <c r="C12" i="4"/>
  <c r="C17" i="4"/>
  <c r="C21" i="4"/>
  <c r="C24" i="4"/>
  <c r="L24" i="4" s="1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D38" i="5"/>
  <c r="E17" i="5"/>
  <c r="E25" i="5"/>
  <c r="E27" i="5"/>
  <c r="E32" i="5"/>
  <c r="E38" i="5" s="1"/>
  <c r="F17" i="5"/>
  <c r="F25" i="5"/>
  <c r="F27" i="5"/>
  <c r="F32" i="5"/>
  <c r="F38" i="5"/>
  <c r="G18" i="5"/>
  <c r="G19" i="5"/>
  <c r="J19" i="5" s="1"/>
  <c r="H17" i="5"/>
  <c r="H25" i="5"/>
  <c r="H27" i="5"/>
  <c r="H32" i="5"/>
  <c r="H38" i="5"/>
  <c r="I17" i="5"/>
  <c r="I25" i="5"/>
  <c r="I27" i="5"/>
  <c r="I32" i="5"/>
  <c r="I38" i="5" s="1"/>
  <c r="J18" i="5"/>
  <c r="R18" i="5" s="1"/>
  <c r="K17" i="5"/>
  <c r="K25" i="5"/>
  <c r="K27" i="5"/>
  <c r="K32" i="5"/>
  <c r="K38" i="5" s="1"/>
  <c r="N38" i="5" s="1"/>
  <c r="L17" i="5"/>
  <c r="L25" i="5"/>
  <c r="L27" i="5"/>
  <c r="L32" i="5"/>
  <c r="L38" i="5"/>
  <c r="M17" i="5"/>
  <c r="M25" i="5"/>
  <c r="M27" i="5"/>
  <c r="M32" i="5"/>
  <c r="M38" i="5" s="1"/>
  <c r="N18" i="5"/>
  <c r="N19" i="5"/>
  <c r="Q19" i="5" s="1"/>
  <c r="O17" i="5"/>
  <c r="O25" i="5"/>
  <c r="O27" i="5"/>
  <c r="O32" i="5"/>
  <c r="O38" i="5" s="1"/>
  <c r="P17" i="5"/>
  <c r="P25" i="5"/>
  <c r="P27" i="5"/>
  <c r="P32" i="5"/>
  <c r="P38" i="5"/>
  <c r="Q18" i="5"/>
  <c r="N28" i="5"/>
  <c r="Q28" i="5" s="1"/>
  <c r="G28" i="5"/>
  <c r="J28" i="5" s="1"/>
  <c r="R28" i="5" s="1"/>
  <c r="N29" i="5"/>
  <c r="Q29" i="5"/>
  <c r="G29" i="5"/>
  <c r="J29" i="5"/>
  <c r="R29" i="5" s="1"/>
  <c r="N30" i="5"/>
  <c r="Q30" i="5" s="1"/>
  <c r="G30" i="5"/>
  <c r="J30" i="5" s="1"/>
  <c r="R30" i="5" s="1"/>
  <c r="N31" i="5"/>
  <c r="Q31" i="5" s="1"/>
  <c r="G31" i="5"/>
  <c r="J31" i="5" s="1"/>
  <c r="R31" i="5" s="1"/>
  <c r="N32" i="5"/>
  <c r="Q32" i="5" s="1"/>
  <c r="N33" i="5"/>
  <c r="Q33" i="5" s="1"/>
  <c r="G33" i="5"/>
  <c r="J33" i="5" s="1"/>
  <c r="N34" i="5"/>
  <c r="Q34" i="5" s="1"/>
  <c r="G34" i="5"/>
  <c r="J34" i="5" s="1"/>
  <c r="R34" i="5"/>
  <c r="N35" i="5"/>
  <c r="Q35" i="5"/>
  <c r="G35" i="5"/>
  <c r="J35" i="5"/>
  <c r="R35" i="5" s="1"/>
  <c r="N36" i="5"/>
  <c r="Q36" i="5" s="1"/>
  <c r="G36" i="5"/>
  <c r="J36" i="5" s="1"/>
  <c r="R36" i="5" s="1"/>
  <c r="N37" i="5"/>
  <c r="Q37" i="5"/>
  <c r="G37" i="5"/>
  <c r="J37" i="5"/>
  <c r="R37" i="5" s="1"/>
  <c r="G20" i="5"/>
  <c r="G21" i="5"/>
  <c r="G22" i="5"/>
  <c r="G23" i="5"/>
  <c r="G24" i="5"/>
  <c r="G16" i="5"/>
  <c r="J16" i="5" s="1"/>
  <c r="J20" i="5"/>
  <c r="J21" i="5"/>
  <c r="J22" i="5"/>
  <c r="J23" i="5"/>
  <c r="J24" i="5"/>
  <c r="N20" i="5"/>
  <c r="Q20" i="5" s="1"/>
  <c r="N21" i="5"/>
  <c r="N22" i="5"/>
  <c r="Q22" i="5" s="1"/>
  <c r="N23" i="5"/>
  <c r="N24" i="5"/>
  <c r="Q24" i="5" s="1"/>
  <c r="N16" i="5"/>
  <c r="Q16" i="5" s="1"/>
  <c r="R20" i="5"/>
  <c r="Q21" i="5"/>
  <c r="R21" i="5"/>
  <c r="Q23" i="5"/>
  <c r="R23" i="5"/>
  <c r="G10" i="5"/>
  <c r="G11" i="5"/>
  <c r="J11" i="5" s="1"/>
  <c r="G12" i="5"/>
  <c r="J12" i="5" s="1"/>
  <c r="G13" i="5"/>
  <c r="G14" i="5"/>
  <c r="G9" i="5"/>
  <c r="J9" i="5" s="1"/>
  <c r="J10" i="5"/>
  <c r="N10" i="5"/>
  <c r="Q10" i="5" s="1"/>
  <c r="N11" i="5"/>
  <c r="Q11" i="5" s="1"/>
  <c r="N12" i="5"/>
  <c r="Q12" i="5" s="1"/>
  <c r="J13" i="5"/>
  <c r="N13" i="5"/>
  <c r="Q13" i="5" s="1"/>
  <c r="J14" i="5"/>
  <c r="N14" i="5"/>
  <c r="Q14" i="5"/>
  <c r="N9" i="5"/>
  <c r="Q9" i="5" s="1"/>
  <c r="B4" i="6"/>
  <c r="B3" i="6"/>
  <c r="E4" i="6"/>
  <c r="E3" i="6"/>
  <c r="F71" i="6"/>
  <c r="E72" i="6"/>
  <c r="E73" i="6"/>
  <c r="E74" i="6"/>
  <c r="E71" i="6" s="1"/>
  <c r="D71" i="6"/>
  <c r="F75" i="6"/>
  <c r="E76" i="6"/>
  <c r="E78" i="6"/>
  <c r="D75" i="6"/>
  <c r="F80" i="6"/>
  <c r="E81" i="6"/>
  <c r="E82" i="6"/>
  <c r="E83" i="6"/>
  <c r="E84" i="6"/>
  <c r="D80" i="6"/>
  <c r="F90" i="6"/>
  <c r="F85" i="6" s="1"/>
  <c r="E86" i="6"/>
  <c r="E87" i="6"/>
  <c r="E88" i="6"/>
  <c r="E89" i="6"/>
  <c r="E91" i="6"/>
  <c r="E92" i="6"/>
  <c r="E93" i="6"/>
  <c r="E94" i="6"/>
  <c r="D90" i="6"/>
  <c r="D85" i="6" s="1"/>
  <c r="D96" i="6" s="1"/>
  <c r="F56" i="6"/>
  <c r="F52" i="6"/>
  <c r="F66" i="6" s="1"/>
  <c r="E95" i="6"/>
  <c r="C56" i="6"/>
  <c r="E56" i="6" s="1"/>
  <c r="C52" i="6"/>
  <c r="E52" i="6" s="1"/>
  <c r="D56" i="6"/>
  <c r="D52" i="6"/>
  <c r="D66" i="6"/>
  <c r="E68" i="6"/>
  <c r="C90" i="6"/>
  <c r="C85" i="6" s="1"/>
  <c r="C71" i="6"/>
  <c r="C75" i="6"/>
  <c r="C80" i="6"/>
  <c r="D16" i="6"/>
  <c r="E16" i="6" s="1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4" i="6"/>
  <c r="E28" i="6"/>
  <c r="E30" i="6"/>
  <c r="E31" i="6"/>
  <c r="E37" i="6"/>
  <c r="E36" i="6"/>
  <c r="E33" i="6" s="1"/>
  <c r="E35" i="6"/>
  <c r="E34" i="6"/>
  <c r="E42" i="6"/>
  <c r="E40" i="6"/>
  <c r="E39" i="6"/>
  <c r="E41" i="6"/>
  <c r="E32" i="6"/>
  <c r="E21" i="6"/>
  <c r="C11" i="6"/>
  <c r="C19" i="6" s="1"/>
  <c r="C33" i="6"/>
  <c r="D24" i="6"/>
  <c r="D33" i="6"/>
  <c r="D38" i="6"/>
  <c r="D43" i="6"/>
  <c r="D11" i="6"/>
  <c r="D19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27" i="8" s="1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F148" i="8"/>
  <c r="E148" i="8"/>
  <c r="F131" i="8"/>
  <c r="E131" i="8"/>
  <c r="F114" i="8"/>
  <c r="E114" i="8"/>
  <c r="F97" i="8"/>
  <c r="E97" i="8"/>
  <c r="C27" i="8"/>
  <c r="C78" i="8"/>
  <c r="C61" i="8"/>
  <c r="C44" i="8"/>
  <c r="C79" i="8"/>
  <c r="E78" i="8"/>
  <c r="E61" i="8"/>
  <c r="E44" i="8"/>
  <c r="E27" i="8"/>
  <c r="E149" i="8"/>
  <c r="C43" i="3" l="1"/>
  <c r="C45" i="3" s="1"/>
  <c r="R24" i="5"/>
  <c r="D15" i="4"/>
  <c r="D93" i="1"/>
  <c r="E15" i="4"/>
  <c r="D28" i="2"/>
  <c r="D33" i="2" s="1"/>
  <c r="H28" i="2"/>
  <c r="H33" i="2" s="1"/>
  <c r="F105" i="6"/>
  <c r="N25" i="5"/>
  <c r="Q25" i="5" s="1"/>
  <c r="N17" i="5"/>
  <c r="G25" i="5"/>
  <c r="J25" i="5" s="1"/>
  <c r="E80" i="6"/>
  <c r="E75" i="6"/>
  <c r="E79" i="8"/>
  <c r="Q38" i="5"/>
  <c r="R33" i="5"/>
  <c r="D55" i="1"/>
  <c r="F149" i="8"/>
  <c r="I26" i="7"/>
  <c r="D44" i="6"/>
  <c r="E38" i="6"/>
  <c r="E43" i="6" s="1"/>
  <c r="C96" i="6"/>
  <c r="D97" i="6"/>
  <c r="E90" i="6"/>
  <c r="E85" i="6" s="1"/>
  <c r="R14" i="5"/>
  <c r="R12" i="5"/>
  <c r="R10" i="5"/>
  <c r="R19" i="5"/>
  <c r="G38" i="5"/>
  <c r="J38" i="5" s="1"/>
  <c r="R38" i="5" s="1"/>
  <c r="D29" i="4"/>
  <c r="D32" i="4" s="1"/>
  <c r="F29" i="4"/>
  <c r="F32" i="4" s="1"/>
  <c r="C149" i="8"/>
  <c r="F44" i="8"/>
  <c r="F61" i="8"/>
  <c r="F78" i="8"/>
  <c r="E11" i="6"/>
  <c r="C43" i="6"/>
  <c r="C44" i="6" s="1"/>
  <c r="C66" i="6"/>
  <c r="E66" i="6" s="1"/>
  <c r="F96" i="6"/>
  <c r="R9" i="5"/>
  <c r="R13" i="5"/>
  <c r="R11" i="5"/>
  <c r="R16" i="5"/>
  <c r="R22" i="5"/>
  <c r="G32" i="5"/>
  <c r="J32" i="5" s="1"/>
  <c r="R32" i="5" s="1"/>
  <c r="R39" i="5"/>
  <c r="L21" i="4"/>
  <c r="G28" i="2"/>
  <c r="G33" i="2" s="1"/>
  <c r="G34" i="2" s="1"/>
  <c r="D43" i="3"/>
  <c r="D45" i="3" s="1"/>
  <c r="F79" i="8"/>
  <c r="E19" i="6"/>
  <c r="F97" i="6"/>
  <c r="P40" i="5"/>
  <c r="L40" i="5"/>
  <c r="H40" i="5"/>
  <c r="F40" i="5"/>
  <c r="G27" i="5"/>
  <c r="J27" i="5" s="1"/>
  <c r="D40" i="5"/>
  <c r="E29" i="4"/>
  <c r="E32" i="4" s="1"/>
  <c r="C55" i="1"/>
  <c r="C15" i="4"/>
  <c r="O40" i="5"/>
  <c r="M40" i="5"/>
  <c r="N27" i="5"/>
  <c r="Q27" i="5" s="1"/>
  <c r="K40" i="5"/>
  <c r="I40" i="5"/>
  <c r="G17" i="5"/>
  <c r="E40" i="5"/>
  <c r="R15" i="5"/>
  <c r="L17" i="4"/>
  <c r="L12" i="4"/>
  <c r="M29" i="4"/>
  <c r="M32" i="4" s="1"/>
  <c r="C93" i="1"/>
  <c r="R25" i="5" l="1"/>
  <c r="D94" i="1"/>
  <c r="D39" i="2"/>
  <c r="D42" i="2" s="1"/>
  <c r="D34" i="2"/>
  <c r="H34" i="2"/>
  <c r="D30" i="2"/>
  <c r="H30" i="2"/>
  <c r="N40" i="5"/>
  <c r="Q17" i="5"/>
  <c r="Q40" i="5" s="1"/>
  <c r="C30" i="2"/>
  <c r="E96" i="6"/>
  <c r="E97" i="6" s="1"/>
  <c r="G30" i="2"/>
  <c r="C97" i="6"/>
  <c r="G40" i="5"/>
  <c r="J17" i="5"/>
  <c r="C94" i="1"/>
  <c r="C34" i="2"/>
  <c r="G39" i="2" s="1"/>
  <c r="C39" i="2"/>
  <c r="C29" i="4"/>
  <c r="R27" i="5"/>
  <c r="E44" i="6"/>
  <c r="H39" i="2" l="1"/>
  <c r="H41" i="2" s="1"/>
  <c r="H32" i="1" s="1"/>
  <c r="J11" i="4" s="1"/>
  <c r="J15" i="4" s="1"/>
  <c r="G42" i="2"/>
  <c r="C41" i="2"/>
  <c r="G31" i="1" s="1"/>
  <c r="C32" i="4"/>
  <c r="J40" i="5"/>
  <c r="R17" i="5"/>
  <c r="R40" i="5" s="1"/>
  <c r="G41" i="2"/>
  <c r="G32" i="1" s="1"/>
  <c r="J16" i="4" s="1"/>
  <c r="C42" i="2"/>
  <c r="J29" i="4" l="1"/>
  <c r="J32" i="4" s="1"/>
  <c r="G33" i="1"/>
  <c r="G36" i="1" s="1"/>
  <c r="G94" i="1" s="1"/>
  <c r="I16" i="4"/>
  <c r="H42" i="2"/>
  <c r="D41" i="2"/>
  <c r="H31" i="1" s="1"/>
  <c r="I11" i="4" l="1"/>
  <c r="H33" i="1"/>
  <c r="H36" i="1" s="1"/>
  <c r="H94" i="1" s="1"/>
  <c r="L16" i="4"/>
  <c r="I15" i="4" l="1"/>
  <c r="L11" i="4"/>
  <c r="L15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<sst xmlns="http://schemas.openxmlformats.org/spreadsheetml/2006/main" count="1061" uniqueCount="873">
  <si>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</si>
  <si>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</si>
  <si>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</si>
  <si>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</si>
  <si>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</si>
  <si>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</si>
  <si>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</si>
  <si>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</si>
  <si>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</si>
  <si>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</si>
  <si>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</si>
  <si>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</si>
  <si>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</si>
  <si>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</si>
  <si>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</si>
  <si>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</si>
  <si>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</si>
  <si>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</si>
  <si>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</si>
  <si>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</si>
  <si>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</si>
  <si>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</si>
  <si>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</si>
  <si>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</si>
  <si>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</si>
  <si>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</si>
  <si>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</si>
  <si>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</si>
  <si>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</si>
  <si>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</si>
  <si>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</si>
  <si>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</si>
  <si>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</si>
  <si>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</si>
  <si>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</si>
  <si>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</si>
  <si>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</si>
  <si>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</si>
  <si>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</si>
  <si>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</si>
  <si>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</si>
  <si>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</si>
  <si>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</si>
  <si>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</si>
  <si>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</si>
  <si>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</si>
  <si>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</si>
  <si>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</si>
  <si>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</si>
  <si>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</si>
  <si>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</si>
  <si>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</si>
  <si>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</si>
  <si>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</si>
  <si>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</si>
  <si>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</si>
  <si>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</si>
  <si>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</si>
  <si>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</si>
  <si>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</si>
  <si>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</si>
  <si>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</si>
  <si>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</si>
  <si>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</si>
  <si>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</si>
  <si>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</si>
  <si>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</si>
  <si>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</si>
  <si>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</si>
  <si>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</si>
  <si>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</si>
  <si>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</si>
  <si>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</si>
  <si>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</si>
  <si>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</si>
  <si>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</si>
  <si>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</si>
  <si>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</si>
  <si>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</si>
  <si>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</si>
  <si>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</si>
  <si>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</si>
  <si>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</si>
  <si>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</si>
  <si>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</si>
  <si>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</si>
  <si>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</si>
  <si>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</si>
  <si>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</si>
  <si>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</si>
  <si>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</si>
  <si>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</si>
  <si>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</si>
  <si>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</si>
  <si>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</si>
  <si>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</si>
  <si>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</si>
  <si>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</si>
  <si>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</si>
  <si>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</si>
  <si>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</si>
  <si>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</si>
  <si>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</si>
  <si>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</si>
  <si>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</si>
  <si>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</si>
  <si>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</si>
  <si>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</si>
  <si>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</si>
  <si>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</si>
  <si>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</si>
  <si>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</si>
  <si>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</si>
  <si>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</si>
  <si>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</si>
  <si>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</si>
  <si>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</si>
  <si>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</si>
  <si>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</si>
  <si>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</si>
  <si>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</si>
  <si>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</si>
  <si>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</si>
  <si>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</si>
  <si>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</si>
  <si>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</si>
  <si>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</si>
  <si>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</si>
  <si>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</si>
  <si>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</si>
  <si>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</si>
  <si>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</si>
  <si>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</si>
  <si>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</si>
  <si>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</si>
  <si>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</si>
  <si>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</si>
  <si>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</si>
  <si>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</si>
  <si>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</si>
  <si>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</si>
  <si>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</si>
  <si>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</si>
  <si>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</si>
  <si>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</si>
  <si>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</si>
  <si>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</si>
  <si>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</si>
  <si>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</si>
  <si>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</si>
  <si>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</si>
  <si>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</si>
  <si>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</si>
  <si>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</si>
  <si>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</si>
  <si>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</si>
  <si>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</si>
  <si>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</si>
  <si>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</si>
  <si>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</si>
  <si>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</si>
  <si>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</si>
  <si>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</si>
  <si>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</si>
  <si>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</si>
  <si>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</si>
  <si>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</si>
  <si>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</si>
  <si>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</si>
  <si>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</si>
  <si>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</si>
  <si>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</si>
  <si>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</si>
  <si>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</si>
  <si>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</si>
  <si>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</si>
  <si>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</si>
  <si>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</si>
  <si>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</si>
  <si>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</si>
  <si>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</si>
  <si>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</si>
  <si>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</si>
  <si>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</si>
  <si>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</si>
  <si>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</si>
  <si>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</si>
  <si>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</si>
  <si>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</si>
  <si>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</si>
  <si>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</si>
  <si>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</si>
  <si>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</si>
  <si>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</si>
  <si>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</si>
  <si>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</si>
  <si>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</si>
  <si>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</si>
  <si>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</si>
  <si>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</si>
  <si>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</si>
  <si>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</si>
  <si>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</si>
  <si>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</si>
  <si>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</si>
  <si>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</si>
  <si>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</si>
  <si>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</si>
  <si>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</si>
  <si>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</si>
  <si>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</si>
  <si>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</si>
  <si>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</si>
  <si>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</si>
  <si>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</si>
  <si>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</si>
  <si>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</si>
  <si>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</si>
  <si>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</si>
  <si>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</si>
  <si>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</si>
  <si>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</si>
  <si>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</si>
  <si>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</si>
  <si>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</si>
  <si>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</si>
  <si>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</si>
  <si>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</si>
  <si>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</si>
  <si>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</si>
  <si>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</si>
  <si>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</si>
  <si>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</si>
  <si>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</si>
  <si>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</si>
  <si>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</si>
  <si>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</si>
  <si>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</si>
  <si>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</si>
  <si>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</si>
  <si>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</si>
  <si>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</si>
  <si>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</si>
  <si>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</si>
  <si>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</si>
  <si>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</si>
  <si>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</si>
  <si>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</si>
  <si>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</si>
  <si>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</si>
  <si>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</si>
  <si>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</si>
  <si>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</si>
  <si>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</si>
  <si>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</si>
  <si>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</si>
  <si>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</si>
  <si>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</si>
  <si>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</si>
  <si>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</si>
  <si>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</si>
  <si>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</si>
  <si>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</si>
  <si>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</si>
  <si>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</si>
  <si>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</si>
  <si>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</si>
  <si>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</si>
  <si>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</si>
  <si>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</si>
  <si>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</si>
  <si>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</si>
  <si>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</si>
  <si>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</si>
  <si>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</si>
  <si>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</si>
  <si>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</si>
  <si>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</si>
  <si>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</si>
  <si>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</si>
  <si>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</si>
  <si>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</si>
  <si>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</si>
  <si>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</si>
  <si>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</si>
  <si>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</si>
  <si>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</si>
  <si>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</si>
  <si>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</si>
  <si>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</si>
  <si>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</si>
  <si>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</si>
  <si>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</si>
  <si>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</si>
  <si>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</si>
  <si>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</si>
  <si>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</si>
  <si>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</si>
  <si>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</si>
  <si>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</si>
  <si>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</si>
  <si>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</si>
  <si>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</si>
  <si>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</si>
  <si>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</si>
  <si>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</si>
  <si>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</si>
  <si>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</si>
  <si>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</si>
  <si>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</si>
  <si>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</si>
  <si>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</si>
  <si>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</si>
  <si>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</si>
  <si>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</si>
  <si>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</si>
  <si>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</si>
  <si>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</si>
  <si>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</si>
  <si>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</si>
  <si>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</si>
  <si>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</si>
  <si>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</si>
  <si>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</si>
  <si>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</si>
  <si>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</si>
  <si>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</si>
  <si>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</si>
  <si>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</si>
  <si>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</si>
  <si>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</si>
  <si>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</si>
  <si>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</si>
  <si>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</si>
  <si>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</si>
  <si>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</si>
  <si>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</si>
  <si>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</si>
  <si>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</si>
  <si>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</si>
  <si>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</si>
  <si>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</si>
  <si>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</si>
  <si>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</si>
  <si>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</si>
  <si>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</si>
  <si>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</si>
  <si>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</si>
  <si>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</si>
  <si>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</si>
  <si>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</si>
  <si>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</si>
  <si>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</si>
  <si>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</si>
  <si>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</si>
  <si>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</si>
  <si>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</si>
  <si>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</si>
  <si>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</si>
  <si>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</si>
  <si>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</si>
  <si>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</si>
  <si>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</si>
  <si>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</si>
  <si>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</si>
  <si>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</si>
  <si>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</si>
  <si>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</si>
  <si>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</si>
  <si>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</si>
  <si>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</si>
  <si>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</si>
  <si>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</si>
  <si>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</si>
  <si>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</si>
  <si>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</si>
  <si>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</si>
  <si>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</si>
  <si>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</si>
  <si>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</si>
  <si>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</si>
  <si>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</si>
  <si>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</si>
  <si>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</si>
  <si>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</si>
  <si>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</si>
  <si>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</si>
  <si>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</si>
  <si>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</si>
  <si>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</si>
  <si>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</si>
  <si>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</si>
  <si>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</si>
  <si>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</si>
  <si>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</si>
  <si>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</si>
  <si>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</si>
  <si>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</si>
  <si>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</si>
  <si>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</si>
  <si>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</si>
  <si>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</si>
  <si>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</si>
  <si>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</si>
  <si>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</si>
  <si>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</si>
  <si>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</si>
  <si>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</si>
  <si>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</si>
  <si>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</si>
  <si>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</si>
  <si>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</si>
  <si>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</si>
  <si>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</si>
  <si>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</si>
  <si>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</si>
  <si>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</si>
  <si>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</si>
  <si>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</si>
  <si>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</si>
  <si>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</si>
  <si>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</si>
  <si>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</si>
  <si>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</si>
  <si>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</si>
  <si>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</si>
  <si>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</si>
  <si>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</si>
  <si>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</si>
  <si>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</si>
  <si>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</si>
  <si>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</si>
  <si>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</si>
  <si>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</si>
  <si>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</si>
  <si>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</si>
  <si>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</si>
  <si>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</si>
  <si>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</si>
  <si>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</si>
  <si>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</si>
  <si>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</si>
  <si>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</si>
  <si>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</si>
  <si>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</si>
  <si>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</si>
  <si>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</si>
  <si>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</si>
  <si>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</si>
  <si>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</si>
  <si>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</si>
  <si>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</si>
  <si>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</si>
  <si>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</si>
  <si>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</si>
  <si>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</si>
  <si>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</si>
  <si>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</si>
  <si>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</si>
  <si>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</si>
  <si>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</si>
  <si>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</si>
  <si>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</si>
  <si>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</si>
  <si>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</si>
  <si>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</si>
  <si>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</si>
  <si>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</si>
  <si>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</si>
  <si>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</si>
  <si>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</si>
  <si>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</si>
  <si>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</si>
  <si>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</si>
  <si>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</si>
  <si>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</si>
  <si>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</si>
  <si>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</si>
  <si>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</si>
  <si>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</si>
  <si>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</si>
  <si>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</si>
  <si>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</si>
  <si>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</si>
  <si>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</si>
  <si>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</si>
  <si>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</si>
  <si>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</si>
  <si>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</si>
  <si>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</si>
  <si>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</si>
  <si>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</si>
  <si>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</si>
  <si>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</si>
  <si>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</si>
  <si>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</si>
  <si>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</si>
  <si>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</si>
  <si>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</si>
  <si>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</si>
  <si>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</si>
  <si>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</si>
  <si>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</si>
  <si>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</si>
  <si>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</si>
  <si>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</si>
  <si>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</si>
  <si>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</si>
  <si>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</si>
  <si>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</si>
  <si>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</si>
  <si>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</si>
  <si>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</si>
  <si>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</si>
  <si>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</si>
  <si>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</si>
  <si>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</si>
  <si>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</si>
  <si>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</si>
  <si>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</si>
  <si>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</si>
  <si>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</si>
  <si>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</si>
  <si>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</si>
  <si>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</si>
  <si>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</si>
  <si>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</si>
  <si>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</si>
  <si>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</si>
  <si>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</si>
  <si>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</si>
  <si>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</si>
  <si>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</si>
  <si>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</si>
  <si>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</si>
  <si>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</si>
  <si>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</si>
  <si>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</si>
  <si>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</si>
  <si>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</si>
  <si>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</si>
  <si>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</si>
  <si>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</si>
  <si>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</si>
  <si>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</si>
  <si>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</si>
  <si>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</si>
  <si>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</si>
  <si>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</si>
  <si>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</si>
  <si>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</si>
  <si>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</si>
  <si>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</si>
  <si>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</si>
  <si>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</si>
  <si>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</si>
  <si>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</si>
  <si>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</si>
  <si>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</si>
  <si>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</si>
  <si>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</si>
  <si>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</si>
  <si>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</si>
  <si>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</si>
  <si>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</si>
  <si>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</si>
  <si>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</si>
  <si>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</si>
  <si>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</si>
  <si>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</si>
  <si>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</si>
  <si>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</si>
  <si>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</si>
  <si>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</si>
  <si>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</si>
  <si>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</si>
  <si>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</si>
  <si>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</si>
  <si>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</si>
  <si>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</si>
  <si>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</si>
  <si>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</si>
  <si>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</si>
  <si>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</si>
  <si>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</si>
  <si>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</si>
  <si>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</si>
  <si>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</si>
  <si>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</si>
  <si>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</si>
  <si>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</si>
  <si>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</si>
  <si>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</si>
  <si>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</si>
  <si>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</si>
  <si>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</si>
  <si>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</si>
  <si>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</si>
  <si>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</si>
  <si>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</si>
  <si>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</si>
  <si>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</si>
  <si>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</si>
  <si>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</si>
  <si>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</si>
  <si>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</si>
  <si>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</si>
  <si>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</si>
  <si>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</si>
  <si>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</si>
  <si>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</si>
  <si>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</si>
  <si>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</si>
  <si>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</si>
  <si>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</si>
  <si>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</si>
  <si>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</si>
  <si>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</si>
  <si>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</si>
  <si>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</si>
  <si>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</si>
  <si>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</si>
  <si>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</si>
  <si>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</si>
  <si>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</si>
  <si>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</si>
  <si>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</si>
  <si>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</si>
  <si>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</si>
  <si>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</si>
  <si>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</si>
  <si>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</si>
  <si>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</si>
  <si>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</si>
  <si>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</si>
  <si>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</si>
  <si>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</si>
  <si>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</si>
  <si>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</si>
  <si>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</si>
  <si>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</si>
  <si>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</si>
  <si>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</si>
  <si>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</si>
  <si>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</si>
  <si>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</si>
  <si>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</si>
  <si>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</si>
  <si>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</si>
  <si>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</si>
  <si>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</si>
  <si>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</si>
  <si>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</si>
  <si>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</si>
  <si>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</si>
  <si>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</si>
  <si>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</si>
  <si>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</si>
  <si>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</si>
  <si>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</si>
  <si>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</si>
  <si>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</si>
  <si>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</si>
  <si>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</si>
  <si>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</si>
  <si>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</si>
  <si>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</si>
  <si>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</si>
  <si>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</si>
  <si>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</si>
  <si>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</si>
  <si>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</si>
  <si>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</si>
  <si>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</si>
  <si>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</si>
  <si>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</si>
  <si>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</si>
  <si>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</si>
  <si>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</si>
  <si>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</si>
  <si>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</si>
  <si>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</si>
  <si>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</si>
  <si>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</si>
  <si>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</si>
  <si>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</si>
  <si>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</si>
  <si>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</si>
  <si>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</si>
  <si>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</si>
  <si>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</si>
  <si>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</si>
  <si>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</si>
  <si>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</si>
  <si>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</si>
  <si>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</si>
  <si>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</si>
  <si>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</si>
  <si>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</si>
  <si>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</si>
  <si>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</si>
  <si>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</si>
  <si>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</si>
  <si>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</si>
  <si>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</si>
  <si>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</si>
  <si>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</si>
  <si>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</si>
  <si>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</si>
  <si>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</si>
  <si>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</si>
  <si>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</si>
  <si>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</si>
  <si>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</si>
  <si>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</si>
  <si>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</si>
  <si>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</si>
  <si>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</si>
  <si>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</si>
  <si>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</si>
  <si>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</si>
  <si>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</si>
  <si>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</si>
  <si>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</si>
  <si>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</si>
  <si>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</si>
  <si>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</si>
  <si>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</si>
  <si>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</si>
  <si>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</si>
  <si>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</si>
  <si>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</si>
  <si>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</si>
  <si>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</si>
  <si>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</si>
  <si>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</si>
  <si>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</si>
  <si>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</si>
  <si>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</si>
  <si>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</si>
  <si>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</si>
  <si>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</si>
  <si>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</si>
  <si>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</si>
  <si>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</si>
  <si>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</si>
  <si>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</si>
  <si>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</si>
  <si>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</si>
  <si>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</si>
  <si>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</si>
  <si>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</si>
  <si>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</si>
  <si>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</si>
  <si>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</si>
  <si>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</si>
  <si>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</si>
  <si>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</si>
  <si>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</si>
  <si>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</si>
  <si>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</si>
  <si>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</si>
  <si>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</si>
  <si>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</si>
  <si>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</si>
  <si>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</si>
  <si>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</si>
  <si>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</si>
  <si>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</si>
  <si>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</si>
  <si>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</si>
  <si>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</si>
  <si>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</si>
  <si>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</si>
  <si>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</si>
  <si>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</si>
  <si>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</si>
  <si>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</si>
  <si>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</si>
  <si>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</si>
  <si>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</si>
  <si>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</si>
  <si>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</si>
  <si>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</si>
  <si>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</si>
  <si>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</si>
  <si>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</si>
  <si>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</si>
  <si>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</si>
  <si>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</si>
  <si>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</si>
  <si>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</si>
  <si>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</si>
  <si>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</si>
  <si>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</si>
  <si>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</si>
  <si>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</si>
  <si>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</si>
  <si>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</si>
  <si>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</si>
  <si>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</si>
  <si>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</si>
  <si>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</si>
  <si>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</si>
  <si>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</si>
  <si>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</si>
  <si>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</si>
  <si>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</si>
  <si>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</si>
  <si>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</si>
  <si>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</si>
  <si>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</si>
  <si>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</si>
  <si>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</si>
  <si>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</si>
  <si>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</si>
  <si>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</si>
  <si>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</si>
  <si>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</si>
  <si>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</si>
  <si>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</si>
  <si>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</si>
  <si>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</si>
  <si>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</si>
  <si>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</si>
  <si>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</si>
  <si>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</si>
  <si>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</si>
  <si>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</si>
  <si>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</si>
  <si>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</si>
  <si>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</si>
  <si>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</si>
  <si>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</si>
  <si>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</si>
  <si>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</si>
  <si>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</si>
  <si>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</si>
  <si>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</si>
  <si>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</si>
  <si>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</si>
  <si>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</si>
  <si>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</si>
  <si>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</si>
  <si>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</si>
  <si>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</si>
  <si>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</si>
  <si>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</si>
  <si>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</si>
  <si>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</si>
  <si>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</si>
  <si>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</si>
  <si>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</si>
  <si>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</si>
  <si>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</si>
  <si>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</si>
  <si>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</si>
  <si>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</si>
  <si>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</si>
  <si>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</si>
  <si>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</si>
  <si>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</si>
  <si>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</si>
  <si>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</si>
  <si>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</si>
  <si>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</si>
  <si>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</si>
  <si>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</si>
  <si>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</si>
  <si>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</si>
  <si>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неконсолидиран</t>
  </si>
  <si>
    <t>01.01.2016 - 30.06.2016</t>
  </si>
  <si>
    <t>Уиндкрафт Симонсфелд БГ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</si>
</sst>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25" zoomScale="90" zoomScaleNormal="90" workbookViewId="0">
      <selection activeCell="G12" sqref="G12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872</v>
      </c>
      <c r="F3" s="217" t="s">
        <v>2</v>
      </c>
      <c r="G3" s="172"/>
      <c r="H3" s="461">
        <v>203068040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871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>
        <v>1421</v>
      </c>
      <c r="D11" s="151">
        <v>1421</v>
      </c>
      <c r="E11" s="237" t="s">
        <v>22</v>
      </c>
      <c r="F11" s="242" t="s">
        <v>23</v>
      </c>
      <c r="G11" s="152">
        <v>2709</v>
      </c>
      <c r="H11" s="152">
        <v>2376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/>
      <c r="H12" s="153"/>
    </row>
    <row r="13" spans="1:8" ht="15">
      <c r="A13" s="235" t="s">
        <v>28</v>
      </c>
      <c r="B13" s="241" t="s">
        <v>29</v>
      </c>
      <c r="C13" s="151">
        <f>6222+143</f>
        <v>6365</v>
      </c>
      <c r="D13" s="151">
        <f>6562+151</f>
        <v>6713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>
        <v>1514</v>
      </c>
      <c r="D14" s="151">
        <v>1597</v>
      </c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/>
      <c r="D15" s="151"/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2709</v>
      </c>
      <c r="H17" s="154">
        <f>H11+H14+H15+H16</f>
        <v>2376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9300</v>
      </c>
      <c r="D19" s="155">
        <f>SUM(D11:D18)</f>
        <v>9731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0</v>
      </c>
      <c r="H21" s="156">
        <f>SUM(H22:H24)</f>
        <v>0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/>
      <c r="D24" s="151"/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0</v>
      </c>
      <c r="H25" s="154">
        <f>H19+H20+H21</f>
        <v>0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5</v>
      </c>
      <c r="D26" s="151">
        <v>5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5</v>
      </c>
      <c r="D27" s="155">
        <f>SUM(D23:D26)</f>
        <v>5</v>
      </c>
      <c r="E27" s="253" t="s">
        <v>83</v>
      </c>
      <c r="F27" s="242" t="s">
        <v>84</v>
      </c>
      <c r="G27" s="154">
        <f>SUM(G28:G30)</f>
        <v>-3235</v>
      </c>
      <c r="H27" s="154">
        <f>SUM(H28:H30)</f>
        <v>-3563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/>
      <c r="H28" s="152"/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f>-3124-111</f>
        <v>-3235</v>
      </c>
      <c r="H29" s="316">
        <f>-3235-328</f>
        <v>-3563</v>
      </c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f>'справка №2-ОТЧЕТ ЗА ДОХОДИТЕ'!C41</f>
        <v>111</v>
      </c>
      <c r="H31" s="152">
        <f>'справка №2-ОТЧЕТ ЗА ДОХОДИТЕ'!D41</f>
        <v>328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>
        <f>'справка №2-ОТЧЕТ ЗА ДОХОДИТЕ'!G41</f>
        <v>0</v>
      </c>
      <c r="H32" s="316">
        <f>'справка №2-ОТЧЕТ ЗА ДОХОДИТЕ'!H41</f>
        <v>0</v>
      </c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-3124</v>
      </c>
      <c r="H33" s="154">
        <f>H27+H31+H32</f>
        <v>-3235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-415</v>
      </c>
      <c r="H36" s="154">
        <f>H25+H17+H33</f>
        <v>-859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>
        <v>5776</v>
      </c>
      <c r="H43" s="152">
        <v>5723</v>
      </c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f>9732-5776</f>
        <v>3956</v>
      </c>
      <c r="H44" s="152">
        <f>10095-5723</f>
        <v>4372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9732</v>
      </c>
      <c r="H49" s="154">
        <f>SUM(H43:H48)</f>
        <v>10095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>
        <v>8</v>
      </c>
      <c r="D53" s="151">
        <v>9</v>
      </c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224</v>
      </c>
      <c r="D54" s="151">
        <v>228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9537</v>
      </c>
      <c r="D55" s="155">
        <f>D19+D20+D21+D27+D32+D45+D51+D53+D54</f>
        <v>9973</v>
      </c>
      <c r="E55" s="237" t="s">
        <v>172</v>
      </c>
      <c r="F55" s="261" t="s">
        <v>173</v>
      </c>
      <c r="G55" s="154">
        <f>G49+G51+G52+G53+G54</f>
        <v>9732</v>
      </c>
      <c r="H55" s="154">
        <f>H49+H51+H52+H53+H54</f>
        <v>10095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/>
      <c r="D58" s="151"/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833</v>
      </c>
      <c r="H59" s="152">
        <v>833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40</v>
      </c>
      <c r="H61" s="154">
        <f>SUM(H62:H68)</f>
        <v>263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7</v>
      </c>
      <c r="H62" s="152">
        <f>196+67</f>
        <v>263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0</v>
      </c>
      <c r="D64" s="155">
        <f>SUM(D58:D63)</f>
        <v>0</v>
      </c>
      <c r="E64" s="237" t="s">
        <v>200</v>
      </c>
      <c r="F64" s="242" t="s">
        <v>201</v>
      </c>
      <c r="G64" s="152">
        <v>33</v>
      </c>
      <c r="H64" s="152"/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/>
      <c r="H66" s="152"/>
    </row>
    <row r="67" spans="1:18" ht="15">
      <c r="A67" s="235" t="s">
        <v>207</v>
      </c>
      <c r="B67" s="241" t="s">
        <v>208</v>
      </c>
      <c r="C67" s="151"/>
      <c r="D67" s="151">
        <v>18</v>
      </c>
      <c r="E67" s="237" t="s">
        <v>209</v>
      </c>
      <c r="F67" s="242" t="s">
        <v>210</v>
      </c>
      <c r="G67" s="152"/>
      <c r="H67" s="152"/>
    </row>
    <row r="68" spans="1:18" ht="15">
      <c r="A68" s="235" t="s">
        <v>211</v>
      </c>
      <c r="B68" s="241" t="s">
        <v>212</v>
      </c>
      <c r="C68" s="151">
        <v>465</v>
      </c>
      <c r="D68" s="151">
        <v>306</v>
      </c>
      <c r="E68" s="237" t="s">
        <v>213</v>
      </c>
      <c r="F68" s="242" t="s">
        <v>214</v>
      </c>
      <c r="G68" s="152"/>
      <c r="H68" s="152"/>
    </row>
    <row r="69" spans="1:18" ht="15">
      <c r="A69" s="235" t="s">
        <v>215</v>
      </c>
      <c r="B69" s="241" t="s">
        <v>216</v>
      </c>
      <c r="C69" s="151"/>
      <c r="D69" s="151"/>
      <c r="E69" s="251" t="s">
        <v>78</v>
      </c>
      <c r="F69" s="242" t="s">
        <v>217</v>
      </c>
      <c r="G69" s="152">
        <v>88</v>
      </c>
      <c r="H69" s="152">
        <v>65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961</v>
      </c>
      <c r="H71" s="161">
        <f>H59+H60+H61+H69+H70</f>
        <v>1161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19</v>
      </c>
      <c r="D74" s="151">
        <v>31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484</v>
      </c>
      <c r="D75" s="155">
        <f>SUM(D67:D74)</f>
        <v>355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961</v>
      </c>
      <c r="H79" s="162">
        <f>H71+H74+H75+H76</f>
        <v>1161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254</v>
      </c>
      <c r="D87" s="151">
        <v>60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/>
      <c r="D88" s="151"/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254</v>
      </c>
      <c r="D91" s="155">
        <f>SUM(D87:D90)</f>
        <v>60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3</v>
      </c>
      <c r="D92" s="151">
        <v>9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741</v>
      </c>
      <c r="D93" s="155">
        <f>D64+D75+D84+D91+D92</f>
        <v>424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10278</v>
      </c>
      <c r="D94" s="164">
        <f>D93+D55</f>
        <v>10397</v>
      </c>
      <c r="E94" s="449" t="s">
        <v>270</v>
      </c>
      <c r="F94" s="289" t="s">
        <v>271</v>
      </c>
      <c r="G94" s="165">
        <f>G36+G39+G55+G79</f>
        <v>10278</v>
      </c>
      <c r="H94" s="165">
        <f>H36+H39+H55+H79</f>
        <v>10397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2" workbookViewId="0">
      <selection activeCell="D17" sqref="D17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Уиндкрафт Симонсфелд БГ ЕООД</v>
      </c>
      <c r="C2" s="584"/>
      <c r="D2" s="584"/>
      <c r="E2" s="584"/>
      <c r="F2" s="586" t="s">
        <v>2</v>
      </c>
      <c r="G2" s="586"/>
      <c r="H2" s="526">
        <f>'справка №1-БАЛАНС'!H3</f>
        <v>203068040</v>
      </c>
    </row>
    <row r="3" spans="1:18" ht="15">
      <c r="A3" s="467" t="s">
        <v>275</v>
      </c>
      <c r="B3" s="584" t="str">
        <f>'справка №1-БАЛАНС'!E4</f>
        <v>неконсолидиран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01.01.2016 - 30.06.2016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3</v>
      </c>
      <c r="D9" s="46">
        <v>3</v>
      </c>
      <c r="E9" s="298" t="s">
        <v>285</v>
      </c>
      <c r="F9" s="549" t="s">
        <v>286</v>
      </c>
      <c r="G9" s="550">
        <v>1207</v>
      </c>
      <c r="H9" s="550">
        <v>1327</v>
      </c>
    </row>
    <row r="10" spans="1:18">
      <c r="A10" s="298" t="s">
        <v>287</v>
      </c>
      <c r="B10" s="299" t="s">
        <v>288</v>
      </c>
      <c r="C10" s="46">
        <v>344</v>
      </c>
      <c r="D10" s="46">
        <v>281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432</v>
      </c>
      <c r="D11" s="46">
        <v>435</v>
      </c>
      <c r="E11" s="300" t="s">
        <v>293</v>
      </c>
      <c r="F11" s="549" t="s">
        <v>294</v>
      </c>
      <c r="G11" s="550">
        <v>17</v>
      </c>
      <c r="H11" s="550">
        <v>8</v>
      </c>
    </row>
    <row r="12" spans="1:18">
      <c r="A12" s="298" t="s">
        <v>295</v>
      </c>
      <c r="B12" s="299" t="s">
        <v>296</v>
      </c>
      <c r="C12" s="46">
        <v>38</v>
      </c>
      <c r="D12" s="46">
        <v>37</v>
      </c>
      <c r="E12" s="300" t="s">
        <v>78</v>
      </c>
      <c r="F12" s="549" t="s">
        <v>297</v>
      </c>
      <c r="G12" s="550"/>
      <c r="H12" s="550"/>
    </row>
    <row r="13" spans="1:18">
      <c r="A13" s="298" t="s">
        <v>298</v>
      </c>
      <c r="B13" s="299" t="s">
        <v>299</v>
      </c>
      <c r="C13" s="46">
        <v>6</v>
      </c>
      <c r="D13" s="46">
        <v>6</v>
      </c>
      <c r="E13" s="301" t="s">
        <v>51</v>
      </c>
      <c r="F13" s="551" t="s">
        <v>300</v>
      </c>
      <c r="G13" s="548">
        <f>SUM(G9:G12)</f>
        <v>1224</v>
      </c>
      <c r="H13" s="548">
        <f>SUM(H9:H12)</f>
        <v>1335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/>
      <c r="D14" s="46"/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62</v>
      </c>
      <c r="D16" s="47">
        <f>13+8</f>
        <v>21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885</v>
      </c>
      <c r="D19" s="49">
        <f>SUM(D9:D15)+D16</f>
        <v>783</v>
      </c>
      <c r="E19" s="304" t="s">
        <v>317</v>
      </c>
      <c r="F19" s="552" t="s">
        <v>318</v>
      </c>
      <c r="G19" s="550"/>
      <c r="H19" s="550"/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196</v>
      </c>
      <c r="D22" s="46">
        <v>164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/>
      <c r="D24" s="46"/>
      <c r="E24" s="301" t="s">
        <v>103</v>
      </c>
      <c r="F24" s="554" t="s">
        <v>334</v>
      </c>
      <c r="G24" s="548">
        <f>SUM(G19:G23)</f>
        <v>0</v>
      </c>
      <c r="H24" s="548">
        <f>SUM(H19:H23)</f>
        <v>0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20</v>
      </c>
      <c r="D25" s="46">
        <v>23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216</v>
      </c>
      <c r="D26" s="49">
        <f>SUM(D22:D25)</f>
        <v>187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1101</v>
      </c>
      <c r="D28" s="50">
        <f>D26+D19</f>
        <v>970</v>
      </c>
      <c r="E28" s="127" t="s">
        <v>339</v>
      </c>
      <c r="F28" s="554" t="s">
        <v>340</v>
      </c>
      <c r="G28" s="548">
        <f>G13+G15+G24</f>
        <v>1224</v>
      </c>
      <c r="H28" s="548">
        <f>H13+H15+H24</f>
        <v>1335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123</v>
      </c>
      <c r="D30" s="50">
        <f>IF((H28-D28)&gt;0,H28-D28,0)</f>
        <v>365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1101</v>
      </c>
      <c r="D33" s="49">
        <f>D28-D31+D32</f>
        <v>970</v>
      </c>
      <c r="E33" s="127" t="s">
        <v>353</v>
      </c>
      <c r="F33" s="554" t="s">
        <v>354</v>
      </c>
      <c r="G33" s="53">
        <f>G32-G31+G28</f>
        <v>1224</v>
      </c>
      <c r="H33" s="53">
        <f>H32-H31+H28</f>
        <v>1335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123</v>
      </c>
      <c r="D34" s="50">
        <f>IF((H33-D33)&gt;0,H33-D33,0)</f>
        <v>365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12</v>
      </c>
      <c r="D35" s="49">
        <f>D36+D37+D38</f>
        <v>37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8</v>
      </c>
      <c r="D36" s="46">
        <v>33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>
        <v>4</v>
      </c>
      <c r="D37" s="430">
        <v>4</v>
      </c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111</v>
      </c>
      <c r="D39" s="460">
        <f>+IF((H33-D33-D35)&gt;0,H33-D33-D35,0)</f>
        <v>328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111</v>
      </c>
      <c r="D41" s="52">
        <f>IF(H39=0,IF(D39-D40&gt;0,D39-D40+H40,0),IF(H39-H40&lt;0,H40-H39+D39,0))</f>
        <v>328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1224</v>
      </c>
      <c r="D42" s="53">
        <f>D33+D35+D39</f>
        <v>1335</v>
      </c>
      <c r="E42" s="128" t="s">
        <v>380</v>
      </c>
      <c r="F42" s="129" t="s">
        <v>381</v>
      </c>
      <c r="G42" s="53">
        <f>G39+G33</f>
        <v>1224</v>
      </c>
      <c r="H42" s="53">
        <f>H39+H33</f>
        <v>1335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13" workbookViewId="0">
      <selection activeCell="D46" sqref="D46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Уиндкрафт Симонсфелд БГ ЕООД</v>
      </c>
      <c r="C4" s="541" t="s">
        <v>2</v>
      </c>
      <c r="D4" s="541">
        <f>'справка №1-БАЛАНС'!H3</f>
        <v>203068040</v>
      </c>
      <c r="E4" s="323"/>
      <c r="F4" s="323"/>
    </row>
    <row r="5" spans="1:13" ht="15">
      <c r="A5" s="470" t="s">
        <v>275</v>
      </c>
      <c r="B5" s="470" t="str">
        <f>'справка №1-БАЛАНС'!E4</f>
        <v>неконсолидиран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01.01.2016 - 30.06.2016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1352</v>
      </c>
      <c r="D10" s="54">
        <v>1738</v>
      </c>
      <c r="E10" s="130"/>
      <c r="F10" s="130"/>
    </row>
    <row r="11" spans="1:13">
      <c r="A11" s="332" t="s">
        <v>390</v>
      </c>
      <c r="B11" s="333" t="s">
        <v>391</v>
      </c>
      <c r="C11" s="54">
        <v>-435</v>
      </c>
      <c r="D11" s="54">
        <v>-463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-41</v>
      </c>
      <c r="D13" s="54">
        <v>-40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-176</v>
      </c>
      <c r="D14" s="54">
        <v>-234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-4</v>
      </c>
      <c r="D15" s="54">
        <v>-27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-73</v>
      </c>
      <c r="D19" s="54">
        <v>-43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623</v>
      </c>
      <c r="D20" s="55">
        <f>SUM(D10:D19)</f>
        <v>931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-1</v>
      </c>
      <c r="D22" s="54">
        <v>-1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-1</v>
      </c>
      <c r="D32" s="55">
        <f>SUM(D22:D31)</f>
        <v>-1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>
        <v>333</v>
      </c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/>
      <c r="D36" s="54"/>
      <c r="E36" s="130"/>
      <c r="F36" s="130"/>
    </row>
    <row r="37" spans="1:8">
      <c r="A37" s="332" t="s">
        <v>439</v>
      </c>
      <c r="B37" s="333" t="s">
        <v>440</v>
      </c>
      <c r="C37" s="54">
        <v>-618</v>
      </c>
      <c r="D37" s="54">
        <v>-416</v>
      </c>
      <c r="E37" s="130"/>
      <c r="F37" s="130"/>
    </row>
    <row r="38" spans="1:8">
      <c r="A38" s="332" t="s">
        <v>441</v>
      </c>
      <c r="B38" s="333" t="s">
        <v>442</v>
      </c>
      <c r="C38" s="54"/>
      <c r="D38" s="54"/>
      <c r="E38" s="130"/>
      <c r="F38" s="130"/>
    </row>
    <row r="39" spans="1:8">
      <c r="A39" s="332" t="s">
        <v>443</v>
      </c>
      <c r="B39" s="333" t="s">
        <v>444</v>
      </c>
      <c r="C39" s="54">
        <v>-143</v>
      </c>
      <c r="D39" s="54">
        <v>-479</v>
      </c>
      <c r="E39" s="130"/>
      <c r="F39" s="130"/>
    </row>
    <row r="40" spans="1:8">
      <c r="A40" s="332" t="s">
        <v>445</v>
      </c>
      <c r="B40" s="333" t="s">
        <v>446</v>
      </c>
      <c r="C40" s="54"/>
      <c r="D40" s="54"/>
      <c r="E40" s="130"/>
      <c r="F40" s="130"/>
    </row>
    <row r="41" spans="1:8">
      <c r="A41" s="332" t="s">
        <v>447</v>
      </c>
      <c r="B41" s="333" t="s">
        <v>448</v>
      </c>
      <c r="C41" s="54"/>
      <c r="D41" s="54"/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-428</v>
      </c>
      <c r="D42" s="55">
        <f>SUM(D34:D41)</f>
        <v>-895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194</v>
      </c>
      <c r="D43" s="55">
        <f>D42+D32+D20</f>
        <v>35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60</v>
      </c>
      <c r="D44" s="132">
        <v>373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254</v>
      </c>
      <c r="D45" s="55">
        <f>D44+D43</f>
        <v>408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f>'справка №1-БАЛАНС'!C87</f>
        <v>254</v>
      </c>
      <c r="D46" s="56">
        <v>408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7" workbookViewId="0">
      <selection activeCell="C29" sqref="C29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Уиндкрафт Симонсфелд БГ ЕООД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203068040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01.01.2016 - 30.06.2016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2376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/>
      <c r="I11" s="58">
        <f>'справка №1-БАЛАНС'!H28+'справка №1-БАЛАНС'!H31</f>
        <v>328</v>
      </c>
      <c r="J11" s="58">
        <f>'справка №1-БАЛАНС'!H29+'справка №1-БАЛАНС'!H32</f>
        <v>-3563</v>
      </c>
      <c r="K11" s="60"/>
      <c r="L11" s="344">
        <f>SUM(C11:K11)</f>
        <v>-859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2376</v>
      </c>
      <c r="D15" s="61">
        <f t="shared" ref="D15:M15" si="2">D11+D12</f>
        <v>0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0</v>
      </c>
      <c r="I15" s="61">
        <f t="shared" si="2"/>
        <v>328</v>
      </c>
      <c r="J15" s="61">
        <f t="shared" si="2"/>
        <v>-3563</v>
      </c>
      <c r="K15" s="61">
        <f t="shared" si="2"/>
        <v>0</v>
      </c>
      <c r="L15" s="344">
        <f t="shared" si="1"/>
        <v>-859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111</v>
      </c>
      <c r="J16" s="345">
        <f>+'справка №1-БАЛАНС'!G32</f>
        <v>0</v>
      </c>
      <c r="K16" s="60"/>
      <c r="L16" s="344">
        <f t="shared" si="1"/>
        <v>111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>
        <v>333</v>
      </c>
      <c r="D28" s="60"/>
      <c r="E28" s="60"/>
      <c r="F28" s="60"/>
      <c r="G28" s="60"/>
      <c r="H28" s="60"/>
      <c r="I28" s="60"/>
      <c r="J28" s="60"/>
      <c r="K28" s="60"/>
      <c r="L28" s="344">
        <f t="shared" si="1"/>
        <v>333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2709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0</v>
      </c>
      <c r="I29" s="59">
        <f t="shared" si="6"/>
        <v>439</v>
      </c>
      <c r="J29" s="59">
        <f t="shared" si="6"/>
        <v>-3563</v>
      </c>
      <c r="K29" s="59">
        <f t="shared" si="6"/>
        <v>0</v>
      </c>
      <c r="L29" s="344">
        <f t="shared" si="1"/>
        <v>-415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2709</v>
      </c>
      <c r="D32" s="59">
        <f t="shared" si="7"/>
        <v>0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0</v>
      </c>
      <c r="I32" s="59">
        <f t="shared" si="7"/>
        <v>439</v>
      </c>
      <c r="J32" s="59">
        <f t="shared" si="7"/>
        <v>-3563</v>
      </c>
      <c r="K32" s="59">
        <f t="shared" si="7"/>
        <v>0</v>
      </c>
      <c r="L32" s="344">
        <f t="shared" si="1"/>
        <v>-415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A22" workbookViewId="0">
      <selection activeCell="A52" sqref="A52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Уиндкрафт Симонсфелд БГ ЕООД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203068040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01.01.2016 - 30.06.2016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>
        <v>2502</v>
      </c>
      <c r="E9" s="189"/>
      <c r="F9" s="189"/>
      <c r="G9" s="74">
        <f>D9+E9-F9</f>
        <v>2502</v>
      </c>
      <c r="H9" s="65"/>
      <c r="I9" s="65">
        <v>1081</v>
      </c>
      <c r="J9" s="74">
        <f>G9+H9-I9</f>
        <v>1421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1421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f>241+10882</f>
        <v>11123</v>
      </c>
      <c r="E11" s="189"/>
      <c r="F11" s="189"/>
      <c r="G11" s="74">
        <f t="shared" si="2"/>
        <v>11123</v>
      </c>
      <c r="H11" s="65"/>
      <c r="I11" s="65"/>
      <c r="J11" s="74">
        <f t="shared" si="3"/>
        <v>11123</v>
      </c>
      <c r="K11" s="65">
        <f>4320+90</f>
        <v>4410</v>
      </c>
      <c r="L11" s="65">
        <v>348</v>
      </c>
      <c r="M11" s="65"/>
      <c r="N11" s="74">
        <f t="shared" si="4"/>
        <v>4758</v>
      </c>
      <c r="O11" s="65"/>
      <c r="P11" s="65"/>
      <c r="Q11" s="74">
        <f t="shared" si="0"/>
        <v>4758</v>
      </c>
      <c r="R11" s="74">
        <f t="shared" si="1"/>
        <v>6365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>
        <f>2629+24+1</f>
        <v>2654</v>
      </c>
      <c r="E12" s="189">
        <v>1</v>
      </c>
      <c r="F12" s="189">
        <v>5</v>
      </c>
      <c r="G12" s="74">
        <f t="shared" si="2"/>
        <v>2650</v>
      </c>
      <c r="H12" s="65"/>
      <c r="I12" s="65"/>
      <c r="J12" s="74">
        <f t="shared" si="3"/>
        <v>2650</v>
      </c>
      <c r="K12" s="65">
        <f>1043+13+1</f>
        <v>1057</v>
      </c>
      <c r="L12" s="65">
        <v>84</v>
      </c>
      <c r="M12" s="65">
        <v>5</v>
      </c>
      <c r="N12" s="74">
        <f t="shared" si="4"/>
        <v>1136</v>
      </c>
      <c r="O12" s="65"/>
      <c r="P12" s="65"/>
      <c r="Q12" s="74">
        <f t="shared" si="0"/>
        <v>1136</v>
      </c>
      <c r="R12" s="74">
        <f t="shared" si="1"/>
        <v>1514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/>
      <c r="E13" s="189"/>
      <c r="F13" s="189"/>
      <c r="G13" s="74">
        <f t="shared" si="2"/>
        <v>0</v>
      </c>
      <c r="H13" s="65"/>
      <c r="I13" s="65"/>
      <c r="J13" s="74">
        <f t="shared" si="3"/>
        <v>0</v>
      </c>
      <c r="K13" s="65"/>
      <c r="L13" s="65"/>
      <c r="M13" s="65"/>
      <c r="N13" s="74">
        <f t="shared" si="4"/>
        <v>0</v>
      </c>
      <c r="O13" s="65"/>
      <c r="P13" s="65"/>
      <c r="Q13" s="74">
        <f t="shared" si="0"/>
        <v>0</v>
      </c>
      <c r="R13" s="74">
        <f t="shared" si="1"/>
        <v>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>
        <v>1206</v>
      </c>
      <c r="E15" s="457"/>
      <c r="F15" s="457"/>
      <c r="G15" s="74">
        <f t="shared" si="2"/>
        <v>1206</v>
      </c>
      <c r="H15" s="458"/>
      <c r="I15" s="458">
        <v>1206</v>
      </c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17485</v>
      </c>
      <c r="E17" s="194">
        <f>SUM(E9:E16)</f>
        <v>1</v>
      </c>
      <c r="F17" s="194">
        <f>SUM(F9:F16)</f>
        <v>5</v>
      </c>
      <c r="G17" s="74">
        <f t="shared" si="2"/>
        <v>17481</v>
      </c>
      <c r="H17" s="75">
        <f>SUM(H9:H16)</f>
        <v>0</v>
      </c>
      <c r="I17" s="75">
        <f>SUM(I9:I16)</f>
        <v>2287</v>
      </c>
      <c r="J17" s="74">
        <f t="shared" si="3"/>
        <v>15194</v>
      </c>
      <c r="K17" s="75">
        <f>SUM(K9:K16)</f>
        <v>5467</v>
      </c>
      <c r="L17" s="75">
        <f>SUM(L9:L16)</f>
        <v>432</v>
      </c>
      <c r="M17" s="75">
        <f>SUM(M9:M16)</f>
        <v>5</v>
      </c>
      <c r="N17" s="74">
        <f t="shared" si="4"/>
        <v>5894</v>
      </c>
      <c r="O17" s="75">
        <f>SUM(O9:O16)</f>
        <v>0</v>
      </c>
      <c r="P17" s="75">
        <f>SUM(P9:P16)</f>
        <v>0</v>
      </c>
      <c r="Q17" s="74">
        <f t="shared" si="5"/>
        <v>5894</v>
      </c>
      <c r="R17" s="74">
        <f t="shared" si="6"/>
        <v>9300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/>
      <c r="E22" s="189"/>
      <c r="F22" s="189"/>
      <c r="G22" s="74">
        <f t="shared" si="2"/>
        <v>0</v>
      </c>
      <c r="H22" s="65"/>
      <c r="I22" s="65"/>
      <c r="J22" s="74">
        <f t="shared" si="3"/>
        <v>0</v>
      </c>
      <c r="K22" s="65"/>
      <c r="L22" s="65"/>
      <c r="M22" s="65"/>
      <c r="N22" s="74">
        <f t="shared" si="4"/>
        <v>0</v>
      </c>
      <c r="O22" s="65"/>
      <c r="P22" s="65"/>
      <c r="Q22" s="74">
        <f t="shared" si="5"/>
        <v>0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>
        <f>8+72</f>
        <v>80</v>
      </c>
      <c r="E24" s="189"/>
      <c r="F24" s="189"/>
      <c r="G24" s="74">
        <f t="shared" si="2"/>
        <v>80</v>
      </c>
      <c r="H24" s="65"/>
      <c r="I24" s="65">
        <v>8</v>
      </c>
      <c r="J24" s="74">
        <f t="shared" si="3"/>
        <v>72</v>
      </c>
      <c r="K24" s="65">
        <v>67</v>
      </c>
      <c r="L24" s="65"/>
      <c r="M24" s="65"/>
      <c r="N24" s="74">
        <f t="shared" si="4"/>
        <v>67</v>
      </c>
      <c r="O24" s="65"/>
      <c r="P24" s="65"/>
      <c r="Q24" s="74">
        <f t="shared" si="5"/>
        <v>67</v>
      </c>
      <c r="R24" s="74">
        <f t="shared" si="6"/>
        <v>5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80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80</v>
      </c>
      <c r="H25" s="66">
        <f t="shared" si="7"/>
        <v>0</v>
      </c>
      <c r="I25" s="66">
        <f t="shared" si="7"/>
        <v>8</v>
      </c>
      <c r="J25" s="67">
        <f t="shared" si="3"/>
        <v>72</v>
      </c>
      <c r="K25" s="66">
        <f t="shared" si="7"/>
        <v>67</v>
      </c>
      <c r="L25" s="66">
        <f t="shared" si="7"/>
        <v>0</v>
      </c>
      <c r="M25" s="66">
        <f t="shared" si="7"/>
        <v>0</v>
      </c>
      <c r="N25" s="67">
        <f t="shared" si="4"/>
        <v>67</v>
      </c>
      <c r="O25" s="66">
        <f t="shared" si="7"/>
        <v>0</v>
      </c>
      <c r="P25" s="66">
        <f t="shared" si="7"/>
        <v>0</v>
      </c>
      <c r="Q25" s="67">
        <f t="shared" si="5"/>
        <v>67</v>
      </c>
      <c r="R25" s="67">
        <f t="shared" si="6"/>
        <v>5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17565</v>
      </c>
      <c r="E40" s="438">
        <f>E17+E18+E19+E25+E38+E39</f>
        <v>1</v>
      </c>
      <c r="F40" s="438">
        <f t="shared" ref="F40:R40" si="13">F17+F18+F19+F25+F38+F39</f>
        <v>5</v>
      </c>
      <c r="G40" s="438">
        <f t="shared" si="13"/>
        <v>17561</v>
      </c>
      <c r="H40" s="438">
        <f t="shared" si="13"/>
        <v>0</v>
      </c>
      <c r="I40" s="438">
        <f t="shared" si="13"/>
        <v>2295</v>
      </c>
      <c r="J40" s="438">
        <f t="shared" si="13"/>
        <v>15266</v>
      </c>
      <c r="K40" s="438">
        <f t="shared" si="13"/>
        <v>5534</v>
      </c>
      <c r="L40" s="438">
        <f t="shared" si="13"/>
        <v>432</v>
      </c>
      <c r="M40" s="438">
        <f t="shared" si="13"/>
        <v>5</v>
      </c>
      <c r="N40" s="438">
        <f t="shared" si="13"/>
        <v>5961</v>
      </c>
      <c r="O40" s="438">
        <f t="shared" si="13"/>
        <v>0</v>
      </c>
      <c r="P40" s="438">
        <f t="shared" si="13"/>
        <v>0</v>
      </c>
      <c r="Q40" s="438">
        <f t="shared" si="13"/>
        <v>5961</v>
      </c>
      <c r="R40" s="438">
        <f t="shared" si="13"/>
        <v>9305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74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abSelected="1" workbookViewId="0">
      <selection activeCell="D96" sqref="D96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Уиндкрафт Симонсфелд БГ ЕООД</v>
      </c>
      <c r="C3" s="619"/>
      <c r="D3" s="526" t="s">
        <v>2</v>
      </c>
      <c r="E3" s="107">
        <f>'справка №1-БАЛАНС'!H3</f>
        <v>203068040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01.01.2016 - 30.06.2016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f>'справка №1-БАЛАНС'!C54</f>
        <v>224</v>
      </c>
      <c r="D21" s="108"/>
      <c r="E21" s="120">
        <f t="shared" si="0"/>
        <v>224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/>
      <c r="D25" s="108"/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/>
      <c r="D26" s="108"/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f>'справка №1-БАЛАНС'!C68</f>
        <v>465</v>
      </c>
      <c r="D28" s="108">
        <v>465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/>
      <c r="D29" s="108"/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224</v>
      </c>
      <c r="D33" s="105">
        <f>SUM(D34:D37)</f>
        <v>0</v>
      </c>
      <c r="E33" s="121">
        <f>SUM(E34:E37)</f>
        <v>224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/>
      <c r="D34" s="108"/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>
        <f>'справка №1-БАЛАНС'!C54</f>
        <v>224</v>
      </c>
      <c r="D36" s="108"/>
      <c r="E36" s="120">
        <f t="shared" si="0"/>
        <v>224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19</v>
      </c>
      <c r="D38" s="105">
        <f>SUM(D39:D42)</f>
        <v>19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f>'справка №1-БАЛАНС'!C74</f>
        <v>19</v>
      </c>
      <c r="D42" s="108">
        <v>19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708</v>
      </c>
      <c r="D43" s="104">
        <f>D24+D28+D29+D31+D30+D32+D33+D38</f>
        <v>484</v>
      </c>
      <c r="E43" s="118">
        <f>E24+E28+E29+E31+E30+E32+E33+E38</f>
        <v>224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932</v>
      </c>
      <c r="D44" s="103">
        <f>D43+D21+D19+D9</f>
        <v>484</v>
      </c>
      <c r="E44" s="118">
        <f>E43+E21+E19+E9</f>
        <v>448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5776</v>
      </c>
      <c r="D52" s="103">
        <f>SUM(D53:D55)</f>
        <v>0</v>
      </c>
      <c r="E52" s="119">
        <f>C52-D52</f>
        <v>5776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>
        <f>'справка №1-БАЛАНС'!G43</f>
        <v>5776</v>
      </c>
      <c r="D53" s="108"/>
      <c r="E53" s="119">
        <f>C53-D53</f>
        <v>5776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3956</v>
      </c>
      <c r="D56" s="103">
        <f>D57+D59</f>
        <v>0</v>
      </c>
      <c r="E56" s="119">
        <f t="shared" si="1"/>
        <v>3956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>
        <f>'справка №1-БАЛАНС'!G44</f>
        <v>3956</v>
      </c>
      <c r="D57" s="108"/>
      <c r="E57" s="119">
        <f t="shared" si="1"/>
        <v>3956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f>'справка №1-БАЛАНС'!G48</f>
        <v>0</v>
      </c>
      <c r="D64" s="108"/>
      <c r="E64" s="119">
        <f t="shared" si="1"/>
        <v>0</v>
      </c>
      <c r="F64" s="110"/>
    </row>
    <row r="65" spans="1:16">
      <c r="A65" s="396" t="s">
        <v>712</v>
      </c>
      <c r="B65" s="397" t="s">
        <v>713</v>
      </c>
      <c r="C65" s="109"/>
      <c r="D65" s="109"/>
      <c r="E65" s="119">
        <f t="shared" si="1"/>
        <v>0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9732</v>
      </c>
      <c r="D66" s="103">
        <f>D52+D56+D61+D62+D63+D64</f>
        <v>0</v>
      </c>
      <c r="E66" s="119">
        <f t="shared" si="1"/>
        <v>9732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>
        <f>'справка №1-БАЛАНС'!G53</f>
        <v>0</v>
      </c>
      <c r="D68" s="108">
        <v>0</v>
      </c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7</v>
      </c>
      <c r="D71" s="105">
        <f>SUM(D72:D74)</f>
        <v>7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/>
      <c r="D72" s="108"/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f>'справка №1-БАЛАНС'!G62</f>
        <v>7</v>
      </c>
      <c r="D74" s="108">
        <v>7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/>
      <c r="D76" s="108"/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/>
      <c r="D78" s="108"/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833</v>
      </c>
      <c r="D80" s="103">
        <f>SUM(D81:D84)</f>
        <v>833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>
        <f>'справка №1-БАЛАНС'!G59</f>
        <v>833</v>
      </c>
      <c r="D83" s="108">
        <v>833</v>
      </c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33</v>
      </c>
      <c r="D85" s="104">
        <f>SUM(D86:D90)+D94</f>
        <v>33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f>'справка №1-БАЛАНС'!G64</f>
        <v>33</v>
      </c>
      <c r="D87" s="108">
        <v>33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/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/>
      <c r="D89" s="108"/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0</v>
      </c>
      <c r="D90" s="103">
        <f>SUM(D91:D93)</f>
        <v>0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/>
      <c r="D91" s="108"/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/>
      <c r="D92" s="108"/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f>'справка №1-БАЛАНС'!G68</f>
        <v>0</v>
      </c>
      <c r="D93" s="108"/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/>
      <c r="D94" s="108"/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f>'справка №1-БАЛАНС'!G69</f>
        <v>88</v>
      </c>
      <c r="D95" s="108">
        <v>88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961</v>
      </c>
      <c r="D96" s="104">
        <f>D85+D80+D75+D71+D95</f>
        <v>961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10693</v>
      </c>
      <c r="D97" s="104">
        <f>D96+D68+D66</f>
        <v>961</v>
      </c>
      <c r="E97" s="104">
        <f>E96+E68+E66</f>
        <v>9732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>
        <f>'справка №1-БАЛАНС'!H51</f>
        <v>0</v>
      </c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/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Уиндкрафт Симонсфелд БГ ЕООД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203068040</v>
      </c>
    </row>
    <row r="5" spans="1:9" ht="15">
      <c r="A5" s="501" t="s">
        <v>5</v>
      </c>
      <c r="B5" s="621" t="str">
        <f>'справка №1-БАЛАНС'!E5</f>
        <v>01.01.2016 - 30.06.2016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/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Уиндкрафт Симонсфелд БГ ЕООД</v>
      </c>
      <c r="C5" s="627"/>
      <c r="D5" s="627"/>
      <c r="E5" s="570" t="s">
        <v>2</v>
      </c>
      <c r="F5" s="451">
        <f>'справка №1-БАЛАНС'!H3</f>
        <v>203068040</v>
      </c>
    </row>
    <row r="6" spans="1:15" ht="15" customHeight="1">
      <c r="A6" s="27" t="s">
        <v>826</v>
      </c>
      <c r="B6" s="628" t="str">
        <f>'справка №1-БАЛАНС'!E5</f>
        <v>01.01.2016 - 30.06.2016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834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HOME</cp:lastModifiedBy>
  <cp:lastPrinted>2016-07-29T12:53:00Z</cp:lastPrinted>
  <dcterms:created xsi:type="dcterms:W3CDTF">2000-06-29T12:02:40Z</dcterms:created>
  <dcterms:modified xsi:type="dcterms:W3CDTF">2016-07-29T14:54:46Z</dcterms:modified>
</cp:coreProperties>
</file>