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2240" windowHeight="8655" tabRatio="695" activeTab="2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  <sheet name="дълготрайни активи" sheetId="6" r:id="rId6"/>
    <sheet name="финансови активи" sheetId="7" r:id="rId7"/>
    <sheet name="отсрочени данъци" sheetId="8" r:id="rId8"/>
    <sheet name="вземания" sheetId="9" r:id="rId9"/>
    <sheet name="данъци" sheetId="10" r:id="rId10"/>
    <sheet name="материални запаси" sheetId="11" r:id="rId11"/>
    <sheet name="парични средства" sheetId="12" r:id="rId12"/>
    <sheet name="основен капитал" sheetId="13" r:id="rId13"/>
    <sheet name="резерви" sheetId="14" r:id="rId14"/>
    <sheet name="финансов резултат" sheetId="15" r:id="rId15"/>
    <sheet name="корекции на грешки" sheetId="16" r:id="rId16"/>
    <sheet name="финансови пасиви" sheetId="17" r:id="rId17"/>
    <sheet name="правителствени дарения" sheetId="18" r:id="rId18"/>
    <sheet name="задължения" sheetId="19" r:id="rId19"/>
    <sheet name="провизии" sheetId="20" r:id="rId20"/>
    <sheet name="пасиви за продажба" sheetId="21" r:id="rId21"/>
    <sheet name="приходи" sheetId="22" r:id="rId22"/>
    <sheet name="разходи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Доход на акция" sheetId="27" r:id="rId27"/>
    <sheet name="Условни активи и пасиви" sheetId="28" r:id="rId28"/>
    <sheet name="коефициенти" sheetId="29" r:id="rId29"/>
  </sheets>
  <definedNames>
    <definedName name="AS2DocOpenMode" hidden="1">"AS2DocumentEdit"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'СК'!$A$1:$O$19</definedName>
    <definedName name="_xlnm.Print_Area" localSheetId="2">'баланс'!$A$1:$G$62</definedName>
    <definedName name="_xlnm.Print_Area" localSheetId="5">'дълготрайни активи'!$B$1:$J$34,'дълготрайни активи'!$L$1:$P$34,'дълготрайни активи'!$R$1:$V$34,'дълготрайни активи'!$X$1:$AA$26</definedName>
    <definedName name="_xlnm.Print_Area" localSheetId="0">'НАЧАЛО'!$A$1:$I$57</definedName>
    <definedName name="_xlnm.Print_Area" localSheetId="3">'ОПП'!$A$1:$E$42</definedName>
    <definedName name="_xlnm.Print_Area" localSheetId="1">'ОПР'!$A$1:$G$53</definedName>
    <definedName name="_xlnm.Print_Area" localSheetId="4">'СК'!$A$1:$O$28</definedName>
    <definedName name="_xlnm.Print_Titles" localSheetId="1">'ОПР'!$1:$2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1">
      <text>
        <r>
          <rPr>
            <b/>
            <sz val="9"/>
            <rFont val="Tahoma"/>
            <family val="2"/>
          </rPr>
          <t xml:space="preserve">ЕИ: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sz val="9"/>
            <rFont val="Tahoma"/>
            <family val="2"/>
          </rPr>
          <t>ЕИ: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<sst xmlns="http://schemas.openxmlformats.org/spreadsheetml/2006/main" count="1345" uniqueCount="753">
  <si>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</si>
  <si>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</si>
  <si>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</si>
  <si>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</si>
  <si>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</si>
  <si>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</si>
  <si>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</si>
  <si>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</si>
  <si>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</si>
  <si>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</si>
  <si>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</si>
  <si>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Покупки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</si>
  <si>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</si>
  <si>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</si>
  <si>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</si>
  <si>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</si>
  <si>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</si>
  <si>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</si>
  <si>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</si>
  <si>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</si>
  <si>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</si>
  <si>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</si>
  <si>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</si>
  <si>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</si>
  <si>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</si>
  <si>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</si>
  <si>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</si>
  <si>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</si>
  <si>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</si>
  <si>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</si>
  <si>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 xml:space="preserve"> </t>
  </si>
  <si>
    <t>Текущи активи</t>
  </si>
  <si>
    <t>Данъчни задължения</t>
  </si>
  <si>
    <t>Сгради и конструкции</t>
  </si>
  <si>
    <t>Машини и оборудване</t>
  </si>
  <si>
    <t>Транспортни средства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</si>
  <si>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</si>
  <si>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</si>
  <si>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</si>
  <si>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</si>
  <si>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</si>
  <si>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</si>
  <si>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</si>
  <si>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</si>
  <si>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Използвани суровини, материали и консумативи</t>
  </si>
  <si>
    <t>Нетекущи  пасиви</t>
  </si>
  <si>
    <t>Текущи пасиви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</si>
  <si>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</si>
  <si>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</si>
  <si>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</si>
  <si>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</si>
  <si>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</si>
  <si>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</si>
  <si>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</si>
  <si>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</si>
  <si>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</si>
  <si>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</si>
  <si>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</si>
  <si>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</si>
  <si>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</si>
  <si>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</si>
  <si>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</si>
  <si>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</si>
  <si>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Печалба/загуба за годината</t>
  </si>
  <si>
    <t>Регистриран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</si>
  <si>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</si>
  <si>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</si>
  <si>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</si>
  <si>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</si>
  <si>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</si>
  <si>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</si>
  <si>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</si>
  <si>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Постъпления по получени  заеми</t>
  </si>
  <si>
    <t>Плащания по получени заеми</t>
  </si>
  <si>
    <t>Парични потоци за погасяване на задължения по финансов лизинг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</si>
  <si>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</si>
  <si>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</si>
  <si>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</si>
  <si>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</si>
  <si>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</si>
  <si>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</si>
  <si>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</si>
  <si>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 /загуба за периода</t>
  </si>
  <si>
    <t>Земи</t>
  </si>
  <si>
    <t>Сгради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</si>
  <si>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</si>
  <si>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</si>
  <si>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</si>
  <si>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</si>
  <si>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</si>
  <si>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</si>
  <si>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Загуба</t>
  </si>
  <si>
    <t>Общо:</t>
  </si>
  <si>
    <t>Основни материали за производство</t>
  </si>
  <si>
    <t>Други материали</t>
  </si>
  <si>
    <t>Обезценка на материали</t>
  </si>
  <si>
    <t>Обезценка на стоки</t>
  </si>
  <si>
    <t>Обезценка на продукция</t>
  </si>
  <si>
    <t>Обезценка</t>
  </si>
  <si>
    <t>Други данъци</t>
  </si>
  <si>
    <t>Блокирани парични средства</t>
  </si>
  <si>
    <t>Парични еквиваленти</t>
  </si>
  <si>
    <t>Във валута</t>
  </si>
  <si>
    <t>Вид акции</t>
  </si>
  <si>
    <t>Емитирани</t>
  </si>
  <si>
    <t>Изкупени и платени</t>
  </si>
  <si>
    <t>Изкупени и неплатени</t>
  </si>
  <si>
    <t>Неизкупени</t>
  </si>
  <si>
    <t>Привилигировани</t>
  </si>
  <si>
    <t>Общо резерви</t>
  </si>
  <si>
    <t>Увеличения от:</t>
  </si>
  <si>
    <t>Разпределение на печалба</t>
  </si>
  <si>
    <t>Намаления от:</t>
  </si>
  <si>
    <t>Покриване на загуба</t>
  </si>
  <si>
    <t>Стойност</t>
  </si>
  <si>
    <t>Вид разход</t>
  </si>
  <si>
    <t>Спомагателни материали</t>
  </si>
  <si>
    <t>Други финансови приходи</t>
  </si>
  <si>
    <t>Разходи за наеми</t>
  </si>
  <si>
    <t>Разходи за заплати и осигуровки на персонала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</si>
  <si>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</si>
  <si>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</si>
  <si>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</si>
  <si>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</si>
  <si>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</si>
  <si>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</si>
  <si>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</si>
  <si>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</si>
  <si>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</si>
  <si>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</si>
  <si>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</si>
  <si>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</si>
  <si>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</si>
  <si>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</si>
  <si>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</si>
  <si>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</si>
  <si>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</si>
  <si>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</si>
  <si>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</si>
  <si>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</si>
  <si>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</si>
  <si>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</si>
  <si>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</si>
  <si>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</si>
  <si>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</si>
  <si>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</si>
  <si>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</si>
  <si>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</si>
  <si>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</si>
  <si>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</si>
  <si>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</si>
  <si>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</si>
  <si>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</si>
  <si>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</si>
  <si>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</si>
  <si>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</si>
  <si>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</si>
  <si>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</si>
  <si>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</si>
  <si>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</si>
  <si>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</si>
  <si>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</si>
  <si>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</si>
  <si>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</si>
  <si>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Име,фамилия</t>
  </si>
  <si>
    <t>Длъжност</t>
  </si>
  <si>
    <t>Представляващ:</t>
  </si>
  <si>
    <t>Дълготрайни активи държани за продажба</t>
  </si>
  <si>
    <t>Транспорт-ни средства</t>
  </si>
  <si>
    <t>Други активи</t>
  </si>
  <si>
    <t>Капитализи-рани разходи</t>
  </si>
  <si>
    <t>активи</t>
  </si>
  <si>
    <t>Съоражения</t>
  </si>
  <si>
    <t>Други материални активи</t>
  </si>
  <si>
    <t>Нематериални активи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</si>
  <si>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</si>
  <si>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</si>
  <si>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</si>
  <si>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</si>
  <si>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</si>
  <si>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</si>
  <si>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</si>
  <si>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</si>
  <si>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</si>
  <si>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</si>
  <si>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</si>
  <si>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</si>
  <si>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</si>
  <si>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</si>
  <si>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</si>
  <si>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</si>
  <si>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</si>
  <si>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</si>
  <si>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</si>
  <si>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</si>
  <si>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</si>
  <si>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</si>
  <si>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</si>
  <si>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</si>
  <si>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</si>
  <si>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</si>
  <si>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</si>
  <si>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</si>
  <si>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</si>
  <si>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</si>
  <si>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</si>
  <si>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</si>
  <si>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</si>
  <si>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</si>
  <si>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</si>
  <si>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</si>
  <si>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</si>
  <si>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</si>
  <si>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</si>
  <si>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</si>
  <si>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Машини и обороудване</t>
  </si>
  <si>
    <t>Права</t>
  </si>
  <si>
    <t>Програмни продукти</t>
  </si>
  <si>
    <t>Възстановени обезценки в опр</t>
  </si>
  <si>
    <t>Обезценки признати в опр</t>
  </si>
  <si>
    <t>Преоценки признати в капитала</t>
  </si>
  <si>
    <t>Инвестиции в дъщерни предприятия</t>
  </si>
  <si>
    <t>Участия</t>
  </si>
  <si>
    <t>размер</t>
  </si>
  <si>
    <t>стойност</t>
  </si>
  <si>
    <t>Инвестиции в асоциирани предприятия</t>
  </si>
  <si>
    <t>Инвестиции в други предприятия</t>
  </si>
  <si>
    <t>Вид</t>
  </si>
  <si>
    <t>Емитент</t>
  </si>
  <si>
    <t>Временна разлика</t>
  </si>
  <si>
    <t>увеличение</t>
  </si>
  <si>
    <t xml:space="preserve">намаление </t>
  </si>
  <si>
    <t>Данъчна основа</t>
  </si>
  <si>
    <t>Амортизации</t>
  </si>
  <si>
    <t>Компенсируми отпуски</t>
  </si>
  <si>
    <t>Общо активи:</t>
  </si>
  <si>
    <t>Пасиви по отсрочени данъци</t>
  </si>
  <si>
    <t>Преоценъчен резерв</t>
  </si>
  <si>
    <t>Общо пасиви:</t>
  </si>
  <si>
    <t>Отсрочени данъци (нето)</t>
  </si>
  <si>
    <t>Слаба капитализация</t>
  </si>
  <si>
    <t>До 1 год.</t>
  </si>
  <si>
    <t>От 1 до 5 г.</t>
  </si>
  <si>
    <t>Лизингови постъпления</t>
  </si>
  <si>
    <t>Дисконтиране</t>
  </si>
  <si>
    <t>Нетна настояща стойност</t>
  </si>
  <si>
    <t>Вземания по продажби</t>
  </si>
  <si>
    <t>Вземания по лизингови договори</t>
  </si>
  <si>
    <t>Вземания по дивиденти</t>
  </si>
  <si>
    <t>Вземания бруто</t>
  </si>
  <si>
    <t>Краткосрочни вземания</t>
  </si>
  <si>
    <t>Вземания от социално осигуряване в т.ч.</t>
  </si>
  <si>
    <t>Социално осигуряване</t>
  </si>
  <si>
    <t>Здравно осигуряване</t>
  </si>
  <si>
    <t>Данък върху печалбата</t>
  </si>
  <si>
    <t>Данък върху добавената стойност</t>
  </si>
  <si>
    <t>Вземания по липси и начети</t>
  </si>
  <si>
    <t>Вземания по рекламации</t>
  </si>
  <si>
    <t>Вземания по предоставени аванси</t>
  </si>
  <si>
    <t>Вземания от свързани предприятия в т.ч. /нето/</t>
  </si>
  <si>
    <t>Други вземания</t>
  </si>
  <si>
    <t>Вземания по лизингови договори /нето/</t>
  </si>
  <si>
    <t>Вземания по предоставени аванси /нето/</t>
  </si>
  <si>
    <t>Други дългосрочни вземания</t>
  </si>
  <si>
    <t>Вземания от продажби в /нето/</t>
  </si>
  <si>
    <t>Други вземания в т.ч. /нето/</t>
  </si>
  <si>
    <t>Предплатени разходи</t>
  </si>
  <si>
    <t>Други дългосрочни вземания в т.ч. /нето/</t>
  </si>
  <si>
    <t>Други краткосрочни вземания</t>
  </si>
  <si>
    <t>Вземания по съдебни спорове</t>
  </si>
  <si>
    <t>Обезценка на вземания от свързани лица</t>
  </si>
  <si>
    <t>Обезценка на търговски вземания</t>
  </si>
  <si>
    <t>Обезценка на вземания по аванси</t>
  </si>
  <si>
    <t>Обезценка на други вземания</t>
  </si>
  <si>
    <t>Обезценка на вземания по лизингови договори</t>
  </si>
  <si>
    <t>Вземания по дивиденти /нето/</t>
  </si>
  <si>
    <t>Обезценка на вземания по дивиденти</t>
  </si>
  <si>
    <t>Вземания по съдебни спорове /нето/</t>
  </si>
  <si>
    <t>Обезценка на вземания по съдебни спорове</t>
  </si>
  <si>
    <t>Предоставени гаранции и депозити</t>
  </si>
  <si>
    <t>Вземания по застраховане</t>
  </si>
  <si>
    <t>Земи /нето/</t>
  </si>
  <si>
    <t>Обезценка на земи</t>
  </si>
  <si>
    <t>Сгради и конструкции /нето/</t>
  </si>
  <si>
    <t>Обезценка на сгради и конструкции</t>
  </si>
  <si>
    <t>Съоражения /нето/</t>
  </si>
  <si>
    <t>Обезценка на съоражения</t>
  </si>
  <si>
    <t>Машини и оборудване /нето/</t>
  </si>
  <si>
    <t>Обезценка на машини и оборудване</t>
  </si>
  <si>
    <t>Транспортни средства /нето/</t>
  </si>
  <si>
    <t>Обезценка на транспортни средства</t>
  </si>
  <si>
    <t>Други материални активи /нето/</t>
  </si>
  <si>
    <t>Обезценка на други нетекущи активи</t>
  </si>
  <si>
    <t>Нематериални активи /нето/</t>
  </si>
  <si>
    <t>Обезценка на нематериални активи</t>
  </si>
  <si>
    <t>Основни материали</t>
  </si>
  <si>
    <t>Резервни части</t>
  </si>
  <si>
    <t>Горива и смазочни материали</t>
  </si>
  <si>
    <t>Незавършено производство</t>
  </si>
  <si>
    <t>Материали в т.ч. /нето/</t>
  </si>
  <si>
    <t>Материали на отговорно пазене</t>
  </si>
  <si>
    <t>Материали собствено производство</t>
  </si>
  <si>
    <t>Стоки /нето/</t>
  </si>
  <si>
    <t>Продукция /нето/</t>
  </si>
  <si>
    <t>Незавършено производство /нето/</t>
  </si>
  <si>
    <t>Обезценка на незавършено произ-во</t>
  </si>
  <si>
    <t>...................................................................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</si>
  <si>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</si>
  <si>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</si>
  <si>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</si>
  <si>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</si>
  <si>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Основен /записан/ капитал АД</t>
  </si>
  <si>
    <t>Акционер</t>
  </si>
  <si>
    <t>Брой акции</t>
  </si>
  <si>
    <t>Платени</t>
  </si>
  <si>
    <t>% Дял</t>
  </si>
  <si>
    <t>Основен /записан/ капитал ООД</t>
  </si>
  <si>
    <t>Съдружник</t>
  </si>
  <si>
    <t>Брой дялове</t>
  </si>
  <si>
    <t>Обикновени</t>
  </si>
  <si>
    <t>Брой</t>
  </si>
  <si>
    <t>Номинал</t>
  </si>
  <si>
    <t>Резерв от последващи оценки на активи</t>
  </si>
  <si>
    <t>Промяна в счетоводната политика</t>
  </si>
  <si>
    <t>Ефект от отсрочени данъци</t>
  </si>
  <si>
    <t>Преоценка на активи</t>
  </si>
  <si>
    <t>Покриване на загуби</t>
  </si>
  <si>
    <t>Продажба на активи</t>
  </si>
  <si>
    <t>Промени в счетоводната полтика, грешки и др.</t>
  </si>
  <si>
    <t>Разпределение на печелба в резерви</t>
  </si>
  <si>
    <t>Въведете намаленията на печалбата със знак минус (-)!</t>
  </si>
  <si>
    <t>Отписан преоценъчен резерв</t>
  </si>
  <si>
    <t>Покриване на загуби с резерви и печалби</t>
  </si>
  <si>
    <t>Въведете намалението на загубата с положителен знак!</t>
  </si>
  <si>
    <t>Правителствени дарения</t>
  </si>
  <si>
    <t>Вид дарение</t>
  </si>
  <si>
    <t>Дарения за дълготрайни активи</t>
  </si>
  <si>
    <t>Дарения за текуща дейност</t>
  </si>
  <si>
    <t>Задължения към свързани предприятия в т.ч.</t>
  </si>
  <si>
    <t>Задължения по доставки</t>
  </si>
  <si>
    <t>Задължения по лизингови договори</t>
  </si>
  <si>
    <t>Задължения по облигационни заеми</t>
  </si>
  <si>
    <t>Други дългосрочни задължения в т.ч.</t>
  </si>
  <si>
    <t>Задължения по получени аванси</t>
  </si>
  <si>
    <t>Данък върху доходите на физическите лица</t>
  </si>
  <si>
    <t>Други краткосрочни задължения в т.ч.</t>
  </si>
  <si>
    <t>Други краткосрочни задължения</t>
  </si>
  <si>
    <t>Други задължения</t>
  </si>
  <si>
    <t>.............................................................</t>
  </si>
  <si>
    <t>Други дългосрочни задължения</t>
  </si>
  <si>
    <t>...........................................................</t>
  </si>
  <si>
    <t>Задължения по дивиденти</t>
  </si>
  <si>
    <t>Задължения по концесии</t>
  </si>
  <si>
    <t>Задължения по застраховки</t>
  </si>
  <si>
    <t>Задължения по гаранции и депозити</t>
  </si>
  <si>
    <t>....................................................</t>
  </si>
  <si>
    <t>Провизии за правни задължения в т.ч.</t>
  </si>
  <si>
    <t>.......................................................................</t>
  </si>
  <si>
    <t>Провизии за конструктивни задължения в т.ч.</t>
  </si>
  <si>
    <t>Приходи от продажби</t>
  </si>
  <si>
    <t>От операции с финансови инструменти</t>
  </si>
  <si>
    <t>Положителни курсови разлики</t>
  </si>
  <si>
    <t>Продажби на продукция в т.ч.</t>
  </si>
  <si>
    <t>Продажби на ..............................</t>
  </si>
  <si>
    <t>Продажби на стоки в т.ч.</t>
  </si>
  <si>
    <t>Продажби на услуги в т.ч.</t>
  </si>
  <si>
    <t>Услуги по дългосрочни договори в т.ч.</t>
  </si>
  <si>
    <t>начислени на етап</t>
  </si>
  <si>
    <t>Други приходи в т.ч.</t>
  </si>
  <si>
    <t>Вид приход</t>
  </si>
  <si>
    <t>Приходи от участия</t>
  </si>
  <si>
    <t>Приходи от лихви в т.ч.</t>
  </si>
  <si>
    <t>по заеми</t>
  </si>
  <si>
    <t>по лизингови договори</t>
  </si>
  <si>
    <t>други</t>
  </si>
  <si>
    <t>по депозити и сметки</t>
  </si>
  <si>
    <t>търговски вземания</t>
  </si>
  <si>
    <t>К</t>
  </si>
  <si>
    <t>С</t>
  </si>
  <si>
    <t>ИНДИВИДУАЛЕН</t>
  </si>
  <si>
    <t>Пасиви държани за продажба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</si>
  <si>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</si>
  <si>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</si>
  <si>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</si>
  <si>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</si>
  <si>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</si>
  <si>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</si>
  <si>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</si>
  <si>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</si>
  <si>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Ремонти</t>
  </si>
  <si>
    <t>Съобщителни услуги</t>
  </si>
  <si>
    <t>Консултански и други договори</t>
  </si>
  <si>
    <t>Граждански договори и хонорари</t>
  </si>
  <si>
    <t>Застраховки</t>
  </si>
  <si>
    <t>Данъци и такси</t>
  </si>
  <si>
    <t>Охрана</t>
  </si>
  <si>
    <t>Абонаменти</t>
  </si>
  <si>
    <t>Други разходи за външни услуги</t>
  </si>
  <si>
    <t>дълготрайни материални активи</t>
  </si>
  <si>
    <t>дълготрайни нематериални активи</t>
  </si>
  <si>
    <t>Разходи за заплати и осигуровки</t>
  </si>
  <si>
    <t>Разходи за:</t>
  </si>
  <si>
    <t>производствен персонал</t>
  </si>
  <si>
    <t>административен персонал</t>
  </si>
  <si>
    <t>в т.ч. разходи по неизпозвани отпуски</t>
  </si>
  <si>
    <t>Балансова стойност на продадени активи</t>
  </si>
  <si>
    <t>В това перо не включва балансовата стойност на продадените дълготрайни активи!</t>
  </si>
  <si>
    <t>Изменение на запасите от продукция</t>
  </si>
  <si>
    <t>Капитализирани разходи за активи</t>
  </si>
  <si>
    <t>Други суми с корективен характер</t>
  </si>
  <si>
    <t>Резултат от продажба на дълготрайни активи</t>
  </si>
  <si>
    <t>в т.ч. дълготрайни материални активи</t>
  </si>
  <si>
    <t>Балансовата стойност и приходите се въвеждат с положителен знак!</t>
  </si>
  <si>
    <t>в т.ч. дълготрайни неатериални активи</t>
  </si>
  <si>
    <t>Приходи от проджба на дълготрайни активи</t>
  </si>
  <si>
    <t>В ОПР се посочва само нетния резултат от продажбата!</t>
  </si>
  <si>
    <t>Финансови разходи</t>
  </si>
  <si>
    <t>Отрицателни курсови разлики</t>
  </si>
  <si>
    <t>Разходи за данъци</t>
  </si>
  <si>
    <t>Данъци от печалбата</t>
  </si>
  <si>
    <t>............................................................</t>
  </si>
  <si>
    <t>Разходи за амортизации на производствени</t>
  </si>
  <si>
    <t>Разходи за амортизации на административни</t>
  </si>
  <si>
    <t>Разходи за заплати на в т.ч.</t>
  </si>
  <si>
    <t>Разходи за осигуровки на в т.ч.</t>
  </si>
  <si>
    <t>Разходи от обезценка на дълготрайни активи</t>
  </si>
  <si>
    <t>Разходи от обезценка на търговска репутация</t>
  </si>
  <si>
    <t>Разходи от обезценка на материални запаси</t>
  </si>
  <si>
    <t>Разходи от обезценка на вземания</t>
  </si>
  <si>
    <t>Разходи от обезценка на финансови активи</t>
  </si>
  <si>
    <t>Разходи за предпазна храна</t>
  </si>
  <si>
    <t>Разходи за трудова медицина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</si>
  <si>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</si>
  <si>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</si>
  <si>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</si>
  <si>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Разходи за лихви в т.ч.</t>
  </si>
  <si>
    <t>Възстановена обезценка на материали</t>
  </si>
  <si>
    <t>Възстановена обезценка на продукция</t>
  </si>
  <si>
    <t>Възстановена обезценка на стоки</t>
  </si>
  <si>
    <t>Балансова стойност на продадени активи /нето/</t>
  </si>
  <si>
    <t>Изменение на запасите от продукция /нето/</t>
  </si>
  <si>
    <t>Начислени суми за:</t>
  </si>
  <si>
    <t>компенсируеми отпуски</t>
  </si>
  <si>
    <t>дългосрочни доходи</t>
  </si>
  <si>
    <t>възнаграждения и осигуровки за периода</t>
  </si>
  <si>
    <t>Разлика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</si>
  <si>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</si>
  <si>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</si>
  <si>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</si>
  <si>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</si>
  <si>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</si>
  <si>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</si>
  <si>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</si>
  <si>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</si>
  <si>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</si>
  <si>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</si>
  <si>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</si>
  <si>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10 //9</t>
  </si>
  <si>
    <t>10//8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</si>
  <si>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</si>
  <si>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</si>
  <si>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</si>
  <si>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</si>
  <si>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</si>
  <si>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</si>
  <si>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</si>
  <si>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</si>
  <si>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</si>
  <si>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</si>
  <si>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</si>
  <si>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</si>
  <si>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</si>
  <si>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</si>
  <si>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</si>
  <si>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</si>
  <si>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10//13</t>
  </si>
  <si>
    <t>10//15</t>
  </si>
  <si>
    <t>14//16</t>
  </si>
  <si>
    <t>16//14</t>
  </si>
  <si>
    <t>2//12</t>
  </si>
  <si>
    <t>(2-3-4)//12</t>
  </si>
  <si>
    <t>(6+7)//12</t>
  </si>
  <si>
    <t>7//12</t>
  </si>
  <si>
    <t>9//13</t>
  </si>
  <si>
    <t>13//9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</si>
  <si>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</si>
  <si>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</si>
  <si>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</si>
  <si>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</si>
  <si>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Сума на актива</t>
  </si>
  <si>
    <t>Имоти, съоражения, мишини и оборудване</t>
  </si>
  <si>
    <t>Нетекущи финансови активи</t>
  </si>
  <si>
    <t>Дялове и участия</t>
  </si>
  <si>
    <t>Финансови активи държани до падеж</t>
  </si>
  <si>
    <t>Финансови активи налични за продажба</t>
  </si>
  <si>
    <t>Нетекущи търговски и други задължения</t>
  </si>
  <si>
    <t>Нетекущи активи</t>
  </si>
  <si>
    <t>Вземания по кредити от свързани предприятия</t>
  </si>
  <si>
    <t>Обезценка на вземания по кредити</t>
  </si>
  <si>
    <t>Вземания по кредити от свързани предприятия /нето/</t>
  </si>
  <si>
    <t>Обезценка на вземания по кредити от свръзани предприятия</t>
  </si>
  <si>
    <t>Вземания по предоставени кредити /нето/</t>
  </si>
  <si>
    <t>Вземания по предоставени кредити</t>
  </si>
  <si>
    <t>Вземания по лизинг от свързани предприятия /нето/</t>
  </si>
  <si>
    <t>Обезценка на вземания по лизинг от свръзани предприятия</t>
  </si>
  <si>
    <t>Вземания по лизинг от свързани предприятия</t>
  </si>
  <si>
    <t>Лизинг - дългосрочни</t>
  </si>
  <si>
    <t>Кредити - дългосрочни</t>
  </si>
  <si>
    <t>Текущи финансови активи</t>
  </si>
  <si>
    <t>Кредити - краткосрочни</t>
  </si>
  <si>
    <t>Лизинг - краткосрочни</t>
  </si>
  <si>
    <t>Финансови активи държани за търгуване</t>
  </si>
  <si>
    <t>Задължения по получени кредити</t>
  </si>
  <si>
    <t>Други финансови пасиви</t>
  </si>
  <si>
    <t>Задължения по кредити към свързани предприятия</t>
  </si>
  <si>
    <t>Задължения по лизингови договори към свързани предприятия</t>
  </si>
  <si>
    <t>Други финансови пасиви - дългосрочни</t>
  </si>
  <si>
    <t>..........................................................................................</t>
  </si>
  <si>
    <t>Други финансови пасиви - краткосрочни</t>
  </si>
  <si>
    <t>Лизингови плащания</t>
  </si>
  <si>
    <t>Дългострочни пасиви</t>
  </si>
  <si>
    <t>Краткосрочни пасиви</t>
  </si>
  <si>
    <t>Обща сума на пасивите</t>
  </si>
  <si>
    <t>Кредитополучател</t>
  </si>
  <si>
    <t>Валута</t>
  </si>
  <si>
    <t>Падеж</t>
  </si>
  <si>
    <t>Обезпечения / Гаранции</t>
  </si>
  <si>
    <t>Л. %</t>
  </si>
  <si>
    <t>Вземания
 до 1 година</t>
  </si>
  <si>
    <t>Вземания
 над 1 година</t>
  </si>
  <si>
    <t>Банка / Кредитор</t>
  </si>
  <si>
    <t>Задължения
 до 1 година</t>
  </si>
  <si>
    <t>Задължения
 над 1 година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</si>
  <si>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</si>
  <si>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</si>
  <si>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</si>
  <si>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Заеми получени от свързани лица</t>
  </si>
  <si>
    <t>Заеми предоставени на свързани лица</t>
  </si>
  <si>
    <t>Финансов лизинг - вземания от свързани предприятия</t>
  </si>
  <si>
    <t>Оперативен лизинг - вземания от свързани предприятия</t>
  </si>
  <si>
    <t>Финансов лизинг - задължения към свързани предприятия</t>
  </si>
  <si>
    <t>Оперативен лизинг - задължения към свързани предприятия</t>
  </si>
  <si>
    <t>Салда по заеми предоставени на свързани лица</t>
  </si>
  <si>
    <t>Задължения по кредити към финансови предприятия</t>
  </si>
  <si>
    <t>Задължения по получени кредити от трети лица</t>
  </si>
  <si>
    <t>Начислени приходи от лихви по заеми предоставени на свързани лица</t>
  </si>
  <si>
    <t>Вземане към</t>
  </si>
  <si>
    <t>Начислени</t>
  </si>
  <si>
    <t>Салда по заеми получени от свързани лица</t>
  </si>
  <si>
    <t>Получени</t>
  </si>
  <si>
    <t>Задължение</t>
  </si>
  <si>
    <t>Вид сделка</t>
  </si>
  <si>
    <t>Свързано лице - доставчик</t>
  </si>
  <si>
    <t>Свързано лице - клиент</t>
  </si>
  <si>
    <t>Покупки от свързани лица</t>
  </si>
  <si>
    <t>Продажби на свързани лица</t>
  </si>
  <si>
    <t>Вземания от свързани лица</t>
  </si>
  <si>
    <t>Гаранции</t>
  </si>
  <si>
    <t>Задължения към свързани лица</t>
  </si>
  <si>
    <t>Салда по получени заеми, без свързани предприятия</t>
  </si>
  <si>
    <t>Получени заеми, без свързани предприятия</t>
  </si>
  <si>
    <t>Предоставени заеми, без свързани предприятия</t>
  </si>
  <si>
    <t>Салда по предоставени заеми, без свързани предприятия</t>
  </si>
  <si>
    <t>Финансов лизинг, без свързани предприятия</t>
  </si>
  <si>
    <t>Оперативен лизинг, без свързани предприятия</t>
  </si>
  <si>
    <t>Текущи финансови активи - приложение №2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</si>
  <si>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</si>
  <si>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</si>
  <si>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</si>
  <si>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</si>
  <si>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</si>
  <si>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</si>
  <si>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</si>
  <si>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</si>
  <si>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</si>
  <si>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</si>
  <si>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</si>
  <si>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</si>
  <si>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</si>
  <si>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</si>
  <si>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</si>
  <si>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</si>
  <si>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</si>
  <si>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</si>
  <si>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</si>
  <si>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</si>
  <si>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</si>
  <si>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</si>
  <si>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</si>
  <si>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</si>
  <si>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</si>
  <si>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Вид грешка</t>
  </si>
  <si>
    <t>Сума</t>
  </si>
  <si>
    <t>Корекции на грешки за сметка на натрупания резултат</t>
  </si>
  <si>
    <t>Нетекущи финансови пасиви - приложение №1</t>
  </si>
  <si>
    <t>Текущи финансови пасиви - приложение № 2</t>
  </si>
  <si>
    <t>Данъци за възстановяване</t>
  </si>
  <si>
    <t>.......................................................</t>
  </si>
  <si>
    <t>Имоти, машини, съоръжения и оборудване</t>
  </si>
  <si>
    <t>Нетекущи вземания</t>
  </si>
  <si>
    <t>Текущи вземания</t>
  </si>
  <si>
    <t>Нетекущи задължения</t>
  </si>
  <si>
    <t>Текущи задължения</t>
  </si>
  <si>
    <t>Текуща част</t>
  </si>
  <si>
    <t>Нетекуща част</t>
  </si>
  <si>
    <t>Задължения свързани с персонала</t>
  </si>
  <si>
    <t>Задължения към осигурителни предприятия</t>
  </si>
  <si>
    <t>в т.ч. задължения по неизползвани отпуски</t>
  </si>
  <si>
    <t>Корективни суми</t>
  </si>
  <si>
    <t>31.12.2007г.</t>
  </si>
  <si>
    <t>31.12.2008г.</t>
  </si>
  <si>
    <t>..</t>
  </si>
  <si>
    <t xml:space="preserve"> 01.1.200..</t>
  </si>
  <si>
    <t xml:space="preserve"> 31.12.200..</t>
  </si>
  <si>
    <t>Бъдещи минимални лизингови постъпления към  31.12.2008г.</t>
  </si>
  <si>
    <t>"ТОПЛОФИКАЦИЯ - ПЛЕВЕН" ЕАД</t>
  </si>
  <si>
    <t>гр. ПЛЕВЕН</t>
  </si>
  <si>
    <t>Вземания от бюджета</t>
  </si>
  <si>
    <t>Разчети по лихви</t>
  </si>
  <si>
    <t>Компенсируеми отпуски</t>
  </si>
  <si>
    <t>Осигуровки към КО</t>
  </si>
  <si>
    <t>Актюерско задължение</t>
  </si>
  <si>
    <t>ПИБ АД</t>
  </si>
  <si>
    <t>EUR</t>
  </si>
  <si>
    <t>Особен залог МС</t>
  </si>
  <si>
    <t>Вземания от клиенти ел.енергия</t>
  </si>
  <si>
    <t>Отписани вземания</t>
  </si>
  <si>
    <t>ДПО</t>
  </si>
  <si>
    <t>Особен залог МС когенерация</t>
  </si>
  <si>
    <t>Съоръ
жения</t>
  </si>
  <si>
    <t>ОЗК</t>
  </si>
  <si>
    <t>Продажби на eлектроенергия</t>
  </si>
  <si>
    <t>Продажби на топлоенергия</t>
  </si>
  <si>
    <t>Продажби на дялово разпределение</t>
  </si>
  <si>
    <t>Продажби на  ДМА</t>
  </si>
  <si>
    <t>Продажби на  материали</t>
  </si>
  <si>
    <t>Продажби от сладкарница</t>
  </si>
  <si>
    <t>Продажби на  хран. Продукти стол</t>
  </si>
  <si>
    <t>Продажби  - други</t>
  </si>
  <si>
    <t>Продажби на други стоки</t>
  </si>
  <si>
    <t>BGN</t>
  </si>
  <si>
    <t>Директор Икономика и Финанси</t>
  </si>
  <si>
    <t>Йордан Василев Василев</t>
  </si>
  <si>
    <t>Данаил Рангелов Каенов</t>
  </si>
  <si>
    <t>в т.ч.Резултат ат продажба на дълготрайни активи</t>
  </si>
  <si>
    <t>Салдо в началото на отчетния период</t>
  </si>
  <si>
    <t>Собствен капитал към края на отчетния период</t>
  </si>
  <si>
    <t>Салдо след промени в 
счет. политика и грешки</t>
  </si>
  <si>
    <t>Основен /записан/ капитал АД                                в лева</t>
  </si>
  <si>
    <t>Доходи физ. Лица</t>
  </si>
  <si>
    <t>31.12.2010г.</t>
  </si>
  <si>
    <t>Продажби на  емисии</t>
  </si>
  <si>
    <t>Продажби на други услуги</t>
  </si>
  <si>
    <t>Такси дялово разпределение</t>
  </si>
  <si>
    <t>Такси по лицензиите</t>
  </si>
  <si>
    <t>ПИБ АД  №2636</t>
  </si>
  <si>
    <t>ПИБ АД №0777</t>
  </si>
  <si>
    <t>Вземания от клиенти</t>
  </si>
  <si>
    <t>31.12.2011г.</t>
  </si>
  <si>
    <t>Акциз</t>
  </si>
  <si>
    <t>Бъдещи минимални лизингови постъпления към  31.12.2010г.</t>
  </si>
  <si>
    <t>Отсрочени задължения към персонала</t>
  </si>
  <si>
    <t>ПИБ АД - №250</t>
  </si>
  <si>
    <t>Бъдещи минимални лизингови постъпления към 31.12.2011г.</t>
  </si>
  <si>
    <t>Общинска банка</t>
  </si>
  <si>
    <t>Проверка уреди</t>
  </si>
  <si>
    <t>вземания он клиенти</t>
  </si>
  <si>
    <t>Креди агринол България ЕАД</t>
  </si>
  <si>
    <t>Последващи оценки на активи и пасиви</t>
  </si>
  <si>
    <t>Финансов резултат от минали години</t>
  </si>
  <si>
    <t xml:space="preserve"> Печалби/ загуби текущ период</t>
  </si>
  <si>
    <t>МЕЖДИНЕН</t>
  </si>
  <si>
    <t>БЕРТА СИМЕОНОВА ЦАНКОВА</t>
  </si>
  <si>
    <t>30.06.2014 г.</t>
  </si>
  <si>
    <t>Акции в предприятия в група</t>
  </si>
  <si>
    <t>Дженерал Електрик САЩ</t>
  </si>
  <si>
    <t>USD</t>
  </si>
  <si>
    <t>Записи на заповед</t>
  </si>
  <si>
    <t xml:space="preserve">Бъдещи минимални лизингови плащания към 31.12.2013г. </t>
  </si>
  <si>
    <t xml:space="preserve"> Изпълнителен Директор</t>
  </si>
  <si>
    <t>Берта Симеонова Цанкова</t>
  </si>
  <si>
    <t>Зам. Изп. Директор</t>
  </si>
  <si>
    <t>Приходи от глоби и неустойки</t>
  </si>
  <si>
    <t>Наеми</t>
  </si>
  <si>
    <t>Охрана на труда и хигиена</t>
  </si>
  <si>
    <t>Небаланс на ел.енергия</t>
  </si>
  <si>
    <t>31.12.2014 г.</t>
  </si>
  <si>
    <t>Салдо към 31.12.2014г.</t>
  </si>
  <si>
    <t>31.12.2014г.</t>
  </si>
  <si>
    <t>Отписани задължения</t>
  </si>
  <si>
    <t>Съдебни разноски</t>
  </si>
  <si>
    <t>Емисии парникови газове</t>
  </si>
  <si>
    <t>Текущи търговски и други задължения</t>
  </si>
  <si>
    <t>Охрана на труда</t>
  </si>
  <si>
    <t>Джетерал Електрик САЩ</t>
  </si>
  <si>
    <t>Записи на заповеди</t>
  </si>
  <si>
    <t>Креди Агрикол България</t>
  </si>
  <si>
    <t>Печалба за годината 2015</t>
  </si>
  <si>
    <t>Финансов резултат към 31.12.2014год.</t>
  </si>
  <si>
    <t>Топлофикация Русе ЕАД</t>
  </si>
  <si>
    <t>Топлофикация-Русе ЕАД</t>
  </si>
  <si>
    <t>18</t>
  </si>
  <si>
    <t>19</t>
  </si>
  <si>
    <t>21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</si>
  <si>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</si>
  <si>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</si>
  <si>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</si>
  <si>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</si>
  <si>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</si>
  <si>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</si>
  <si>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</si>
  <si>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</si>
  <si>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</si>
  <si>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към 30.06.2015год.</t>
  </si>
  <si>
    <t>30 юли 2015 год.</t>
  </si>
  <si>
    <t>инж. ЙОРДАН ВАСИЛЕВ ВАСИЛЕВ</t>
  </si>
  <si>
    <t>5%  такса в/у ст-ста на продадена ел.енергия</t>
  </si>
  <si>
    <t>31.12.2015г.</t>
  </si>
  <si>
    <t>31.12.2015 г.</t>
  </si>
  <si>
    <t>Парични средства и парични еквиваленти на31 декември</t>
  </si>
  <si>
    <t>Салдо към 31.12.2015г.</t>
  </si>
  <si>
    <t>Балансова стойност към 31.12.2015г.</t>
  </si>
  <si>
    <t xml:space="preserve">     </t>
  </si>
  <si>
    <t>Загуба към 31.12.2015 год.</t>
  </si>
  <si>
    <t>"Каталанд" ЛТД</t>
  </si>
  <si>
    <t>Резерви към 31.12.2014 год.</t>
  </si>
  <si>
    <t>Преизчислени резерви към 31.12.2014г.</t>
  </si>
  <si>
    <t>Резерви към 31.12.2015год.</t>
  </si>
  <si>
    <t>Финансов резултат към 31.12.2015год.</t>
  </si>
  <si>
    <t>Печалба към 31.12.2014 г.</t>
  </si>
  <si>
    <t>Загуба за годината 2015</t>
  </si>
  <si>
    <t>Печалба към 31.12.2015 г</t>
  </si>
  <si>
    <t>Печалба за годината 2016</t>
  </si>
  <si>
    <t>Загуба към 31.12.2014год.</t>
  </si>
  <si>
    <t xml:space="preserve">Бъдещи минимални лизингови плащания към 31.12.2015г. </t>
  </si>
  <si>
    <t>Пламен Иванов Григоров</t>
  </si>
  <si>
    <t>Светлозар Кирилов Стоянов</t>
  </si>
  <si>
    <t>Ръков.сектор производство</t>
  </si>
  <si>
    <t>30.06.2015г.</t>
  </si>
  <si>
    <t>ОТЧЕТ ЗА ВСЕОБХВАТНИЯ ДОХОД за периода 01.01-31.12.2016 год.</t>
  </si>
  <si>
    <t>31.12.2016г.</t>
  </si>
  <si>
    <t>СЧЕТОВОДЕН БАЛАНС към 31.12.2016 год.</t>
  </si>
  <si>
    <t>31.12.2016 г.</t>
  </si>
  <si>
    <t>ОТЧЕТ ЗА ПАРИЧНИЯ ПОТОК към 31.12.2016г.</t>
  </si>
  <si>
    <t>ОТЧЕТ ЗА СОБСТВЕНИЯ КАПИТАЛ към 31.12.2016 год.</t>
  </si>
  <si>
    <t>Салдо към 31.12.2016г.</t>
  </si>
  <si>
    <t>Салдо към 31.12.2016г..</t>
  </si>
  <si>
    <t>Балансова стойност към 31.12.2016г.</t>
  </si>
  <si>
    <t>Печалба към 31.12.2016 г.</t>
  </si>
  <si>
    <t>Загуба до 31.12.2016</t>
  </si>
  <si>
    <t>Загуба към 31.12.2016 год.</t>
  </si>
  <si>
    <t>Финансов резултат към 31.12.2016г.од.</t>
  </si>
  <si>
    <t>Резерви към 31.12.2016 год.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</si>
</sst>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"/>
  </numFmts>
  <fonts count="8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4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sz val="11"/>
      <color indexed="12"/>
      <name val="Garamond"/>
      <family val="1"/>
    </font>
    <font>
      <b/>
      <i/>
      <u val="single"/>
      <sz val="20"/>
      <name val="Garamond"/>
      <family val="1"/>
    </font>
    <font>
      <i/>
      <sz val="10"/>
      <name val="Garamond"/>
      <family val="1"/>
    </font>
    <font>
      <i/>
      <sz val="23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sz val="10"/>
      <color indexed="12"/>
      <name val="Garamond"/>
      <family val="1"/>
    </font>
    <font>
      <b/>
      <sz val="10"/>
      <color indexed="12"/>
      <name val="Garamond"/>
      <family val="1"/>
    </font>
    <font>
      <sz val="10"/>
      <color indexed="55"/>
      <name val="Garamond"/>
      <family val="1"/>
    </font>
    <font>
      <sz val="9"/>
      <color indexed="10"/>
      <name val="Garamond"/>
      <family val="1"/>
    </font>
    <font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28" borderId="6" applyNumberFormat="0" applyAlignment="0" applyProtection="0"/>
    <xf numFmtId="0" fontId="80" fillId="28" borderId="2" applyNumberFormat="0" applyAlignment="0" applyProtection="0"/>
    <xf numFmtId="0" fontId="81" fillId="29" borderId="7" applyNumberFormat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" fontId="9" fillId="0" borderId="22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177" fontId="16" fillId="33" borderId="19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93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 vertical="center"/>
    </xf>
    <xf numFmtId="177" fontId="16" fillId="33" borderId="23" xfId="0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6" fillId="34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9" fontId="16" fillId="0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4" fillId="34" borderId="0" xfId="35" applyFont="1" applyFill="1" applyBorder="1" applyAlignment="1">
      <alignment vertical="center"/>
      <protection/>
    </xf>
    <xf numFmtId="0" fontId="25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6" fillId="34" borderId="0" xfId="35" applyFont="1" applyFill="1" applyBorder="1" applyAlignment="1">
      <alignment vertical="center"/>
      <protection/>
    </xf>
    <xf numFmtId="0" fontId="18" fillId="34" borderId="0" xfId="0" applyFont="1" applyFill="1" applyBorder="1" applyAlignment="1">
      <alignment horizontal="center"/>
    </xf>
    <xf numFmtId="177" fontId="18" fillId="34" borderId="0" xfId="0" applyNumberFormat="1" applyFont="1" applyFill="1" applyBorder="1" applyAlignment="1">
      <alignment horizontal="right"/>
    </xf>
    <xf numFmtId="0" fontId="16" fillId="34" borderId="0" xfId="36" applyFont="1" applyFill="1" applyAlignment="1">
      <alignment horizontal="right"/>
      <protection/>
    </xf>
    <xf numFmtId="0" fontId="26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16" fillId="34" borderId="0" xfId="36" applyFont="1" applyFill="1" applyAlignment="1">
      <alignment/>
      <protection/>
    </xf>
    <xf numFmtId="0" fontId="18" fillId="32" borderId="0" xfId="0" applyFont="1" applyFill="1" applyBorder="1" applyAlignment="1">
      <alignment horizontal="center"/>
    </xf>
    <xf numFmtId="177" fontId="18" fillId="32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93" fontId="16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6" fillId="0" borderId="0" xfId="38" applyNumberFormat="1" applyFont="1" applyFill="1" applyBorder="1" applyAlignment="1">
      <alignment vertical="center"/>
      <protection/>
    </xf>
    <xf numFmtId="177" fontId="16" fillId="0" borderId="0" xfId="38" applyNumberFormat="1" applyFont="1" applyFill="1" applyBorder="1" applyAlignment="1">
      <alignment vertical="center"/>
      <protection/>
    </xf>
    <xf numFmtId="14" fontId="17" fillId="0" borderId="19" xfId="0" applyNumberFormat="1" applyFont="1" applyBorder="1" applyAlignment="1">
      <alignment horizontal="center" wrapText="1"/>
    </xf>
    <xf numFmtId="177" fontId="16" fillId="0" borderId="19" xfId="38" applyNumberFormat="1" applyFont="1" applyFill="1" applyBorder="1" applyAlignment="1">
      <alignment vertical="center"/>
      <protection/>
    </xf>
    <xf numFmtId="177" fontId="17" fillId="0" borderId="0" xfId="38" applyNumberFormat="1" applyFont="1" applyFill="1" applyBorder="1" applyAlignment="1">
      <alignment vertical="center"/>
      <protection/>
    </xf>
    <xf numFmtId="193" fontId="17" fillId="0" borderId="0" xfId="0" applyNumberFormat="1" applyFont="1" applyFill="1" applyBorder="1" applyAlignment="1">
      <alignment/>
    </xf>
    <xf numFmtId="193" fontId="17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 vertical="center"/>
    </xf>
    <xf numFmtId="177" fontId="17" fillId="0" borderId="0" xfId="38" applyNumberFormat="1" applyFont="1" applyFill="1" applyBorder="1" applyAlignment="1">
      <alignment horizontal="center" vertical="center"/>
      <protection/>
    </xf>
    <xf numFmtId="193" fontId="16" fillId="33" borderId="19" xfId="0" applyNumberFormat="1" applyFont="1" applyFill="1" applyBorder="1" applyAlignment="1">
      <alignment/>
    </xf>
    <xf numFmtId="193" fontId="16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right" vertical="center" wrapText="1"/>
    </xf>
    <xf numFmtId="0" fontId="30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 applyAlignment="1">
      <alignment horizontal="center"/>
      <protection/>
    </xf>
    <xf numFmtId="177" fontId="17" fillId="0" borderId="0" xfId="36" applyNumberFormat="1" applyFont="1" applyFill="1" applyBorder="1" applyAlignment="1">
      <alignment horizontal="right"/>
      <protection/>
    </xf>
    <xf numFmtId="177" fontId="17" fillId="0" borderId="0" xfId="36" applyNumberFormat="1" applyFont="1" applyFill="1" applyBorder="1">
      <alignment/>
      <protection/>
    </xf>
    <xf numFmtId="0" fontId="16" fillId="0" borderId="0" xfId="36" applyFont="1" applyFill="1" applyBorder="1" applyAlignment="1">
      <alignment horizontal="center"/>
      <protection/>
    </xf>
    <xf numFmtId="177" fontId="16" fillId="33" borderId="24" xfId="36" applyNumberFormat="1" applyFont="1" applyFill="1" applyBorder="1" applyAlignment="1">
      <alignment horizontal="left"/>
      <protection/>
    </xf>
    <xf numFmtId="177" fontId="16" fillId="33" borderId="24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>
      <alignment/>
      <protection/>
    </xf>
    <xf numFmtId="177" fontId="16" fillId="0" borderId="0" xfId="36" applyNumberFormat="1" applyFont="1" applyFill="1" applyBorder="1" applyAlignment="1">
      <alignment horizontal="right"/>
      <protection/>
    </xf>
    <xf numFmtId="177" fontId="16" fillId="33" borderId="12" xfId="36" applyNumberFormat="1" applyFont="1" applyFill="1" applyBorder="1" applyAlignment="1">
      <alignment horizontal="left" vertical="justify"/>
      <protection/>
    </xf>
    <xf numFmtId="177" fontId="16" fillId="33" borderId="12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 applyAlignment="1">
      <alignment horizontal="center"/>
      <protection/>
    </xf>
    <xf numFmtId="177" fontId="16" fillId="33" borderId="25" xfId="36" applyNumberFormat="1" applyFont="1" applyFill="1" applyBorder="1" applyAlignment="1">
      <alignment horizontal="right"/>
      <protection/>
    </xf>
    <xf numFmtId="0" fontId="17" fillId="0" borderId="0" xfId="39" applyFont="1" applyFill="1" applyBorder="1" applyAlignment="1" quotePrefix="1">
      <alignment horizontal="left" vertical="center"/>
      <protection/>
    </xf>
    <xf numFmtId="15" fontId="30" fillId="0" borderId="0" xfId="35" applyNumberFormat="1" applyFont="1" applyFill="1" applyBorder="1" applyAlignment="1">
      <alignment horizontal="center" vertical="center" wrapText="1"/>
      <protection/>
    </xf>
    <xf numFmtId="1" fontId="30" fillId="0" borderId="0" xfId="37" applyNumberFormat="1" applyFont="1" applyFill="1" applyBorder="1" applyAlignment="1">
      <alignment horizontal="right" vertical="center" wrapText="1"/>
      <protection/>
    </xf>
    <xf numFmtId="177" fontId="30" fillId="0" borderId="0" xfId="37" applyNumberFormat="1" applyFont="1" applyFill="1" applyBorder="1" applyAlignment="1">
      <alignment horizontal="right" vertical="center" wrapText="1"/>
      <protection/>
    </xf>
    <xf numFmtId="49" fontId="30" fillId="0" borderId="0" xfId="37" applyNumberFormat="1" applyFont="1" applyFill="1" applyBorder="1" applyAlignment="1">
      <alignment horizontal="right" vertical="center" wrapText="1"/>
      <protection/>
    </xf>
    <xf numFmtId="0" fontId="23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>
      <alignment/>
      <protection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wrapText="1"/>
    </xf>
    <xf numFmtId="3" fontId="17" fillId="34" borderId="0" xfId="0" applyNumberFormat="1" applyFont="1" applyFill="1" applyBorder="1" applyAlignment="1">
      <alignment/>
    </xf>
    <xf numFmtId="0" fontId="16" fillId="34" borderId="0" xfId="35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/>
    </xf>
    <xf numFmtId="0" fontId="24" fillId="32" borderId="0" xfId="35" applyFont="1" applyFill="1" applyBorder="1" applyAlignment="1">
      <alignment vertical="center"/>
      <protection/>
    </xf>
    <xf numFmtId="0" fontId="22" fillId="32" borderId="0" xfId="0" applyFont="1" applyFill="1" applyBorder="1" applyAlignment="1">
      <alignment/>
    </xf>
    <xf numFmtId="0" fontId="16" fillId="32" borderId="0" xfId="35" applyFont="1" applyFill="1" applyBorder="1" applyAlignment="1">
      <alignment vertical="center"/>
      <protection/>
    </xf>
    <xf numFmtId="0" fontId="16" fillId="32" borderId="0" xfId="36" applyFont="1" applyFill="1" applyAlignment="1">
      <alignment horizontal="right"/>
      <protection/>
    </xf>
    <xf numFmtId="0" fontId="16" fillId="32" borderId="0" xfId="35" applyFont="1" applyFill="1" applyBorder="1" applyAlignment="1">
      <alignment horizontal="right" vertical="center"/>
      <protection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7" fillId="32" borderId="0" xfId="36" applyFont="1" applyFill="1" applyAlignment="1">
      <alignment horizontal="center"/>
      <protection/>
    </xf>
    <xf numFmtId="177" fontId="17" fillId="32" borderId="0" xfId="36" applyNumberFormat="1" applyFont="1" applyFill="1" applyAlignment="1">
      <alignment horizontal="right"/>
      <protection/>
    </xf>
    <xf numFmtId="0" fontId="17" fillId="32" borderId="0" xfId="36" applyFont="1" applyFill="1" applyBorder="1" applyAlignment="1">
      <alignment horizontal="center"/>
      <protection/>
    </xf>
    <xf numFmtId="0" fontId="33" fillId="32" borderId="0" xfId="35" applyFont="1" applyFill="1" applyBorder="1" applyAlignment="1">
      <alignment vertical="center"/>
      <protection/>
    </xf>
    <xf numFmtId="0" fontId="17" fillId="32" borderId="0" xfId="36" applyFont="1" applyFill="1">
      <alignment/>
      <protection/>
    </xf>
    <xf numFmtId="0" fontId="17" fillId="34" borderId="0" xfId="36" applyFont="1" applyFill="1" applyBorder="1" applyAlignment="1">
      <alignment horizontal="center"/>
      <protection/>
    </xf>
    <xf numFmtId="177" fontId="31" fillId="34" borderId="0" xfId="36" applyNumberFormat="1" applyFont="1" applyFill="1" applyBorder="1" applyAlignment="1">
      <alignment horizontal="right"/>
      <protection/>
    </xf>
    <xf numFmtId="0" fontId="31" fillId="34" borderId="0" xfId="36" applyFont="1" applyFill="1" applyBorder="1" applyAlignment="1">
      <alignment horizontal="center"/>
      <protection/>
    </xf>
    <xf numFmtId="177" fontId="17" fillId="34" borderId="0" xfId="36" applyNumberFormat="1" applyFont="1" applyFill="1" applyBorder="1" applyAlignment="1">
      <alignment horizontal="right"/>
      <protection/>
    </xf>
    <xf numFmtId="0" fontId="17" fillId="34" borderId="0" xfId="36" applyFont="1" applyFill="1" applyAlignment="1">
      <alignment horizontal="center"/>
      <protection/>
    </xf>
    <xf numFmtId="177" fontId="17" fillId="34" borderId="0" xfId="36" applyNumberFormat="1" applyFont="1" applyFill="1" applyAlignment="1">
      <alignment horizontal="right"/>
      <protection/>
    </xf>
    <xf numFmtId="177" fontId="22" fillId="34" borderId="0" xfId="36" applyNumberFormat="1" applyFont="1" applyFill="1" applyAlignment="1">
      <alignment horizontal="center"/>
      <protection/>
    </xf>
    <xf numFmtId="0" fontId="17" fillId="0" borderId="0" xfId="37" applyNumberFormat="1" applyFont="1" applyFill="1" applyBorder="1" applyAlignment="1" applyProtection="1">
      <alignment vertical="top"/>
      <protection/>
    </xf>
    <xf numFmtId="0" fontId="17" fillId="32" borderId="0" xfId="37" applyNumberFormat="1" applyFont="1" applyFill="1" applyBorder="1" applyAlignment="1" applyProtection="1">
      <alignment vertical="top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0" xfId="37" applyNumberFormat="1" applyFont="1" applyFill="1" applyBorder="1" applyAlignment="1" applyProtection="1">
      <alignment vertical="top"/>
      <protection locked="0"/>
    </xf>
    <xf numFmtId="0" fontId="17" fillId="32" borderId="0" xfId="37" applyNumberFormat="1" applyFont="1" applyFill="1" applyBorder="1" applyAlignment="1" applyProtection="1">
      <alignment vertical="top"/>
      <protection locked="0"/>
    </xf>
    <xf numFmtId="0" fontId="28" fillId="0" borderId="19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37" applyNumberFormat="1" applyFont="1" applyFill="1" applyBorder="1" applyAlignment="1" applyProtection="1">
      <alignment horizontal="right" vertical="top"/>
      <protection locked="0"/>
    </xf>
    <xf numFmtId="0" fontId="28" fillId="0" borderId="0" xfId="37" applyNumberFormat="1" applyFont="1" applyFill="1" applyBorder="1" applyAlignment="1" applyProtection="1">
      <alignment vertical="center"/>
      <protection/>
    </xf>
    <xf numFmtId="3" fontId="17" fillId="0" borderId="12" xfId="37" applyNumberFormat="1" applyFont="1" applyFill="1" applyBorder="1" applyAlignment="1" applyProtection="1">
      <alignment vertical="center"/>
      <protection/>
    </xf>
    <xf numFmtId="0" fontId="17" fillId="0" borderId="0" xfId="37" applyNumberFormat="1" applyFont="1" applyFill="1" applyBorder="1" applyAlignment="1" applyProtection="1">
      <alignment vertical="center"/>
      <protection/>
    </xf>
    <xf numFmtId="3" fontId="17" fillId="0" borderId="0" xfId="37" applyNumberFormat="1" applyFont="1" applyFill="1" applyBorder="1" applyAlignment="1" applyProtection="1">
      <alignment vertical="center"/>
      <protection/>
    </xf>
    <xf numFmtId="193" fontId="16" fillId="0" borderId="0" xfId="58" applyNumberFormat="1" applyFont="1" applyFill="1" applyBorder="1" applyAlignment="1" applyProtection="1">
      <alignment vertical="center"/>
      <protection/>
    </xf>
    <xf numFmtId="193" fontId="31" fillId="0" borderId="0" xfId="37" applyNumberFormat="1" applyFont="1" applyFill="1" applyBorder="1" applyAlignment="1" applyProtection="1">
      <alignment vertical="center"/>
      <protection/>
    </xf>
    <xf numFmtId="193" fontId="16" fillId="0" borderId="19" xfId="58" applyNumberFormat="1" applyFont="1" applyFill="1" applyBorder="1" applyAlignment="1" applyProtection="1">
      <alignment vertical="center"/>
      <protection/>
    </xf>
    <xf numFmtId="0" fontId="17" fillId="32" borderId="0" xfId="37" applyNumberFormat="1" applyFont="1" applyFill="1" applyBorder="1" applyAlignment="1" applyProtection="1">
      <alignment vertical="center"/>
      <protection/>
    </xf>
    <xf numFmtId="193" fontId="16" fillId="33" borderId="25" xfId="58" applyNumberFormat="1" applyFont="1" applyFill="1" applyBorder="1" applyAlignment="1" applyProtection="1">
      <alignment horizontal="left" vertical="center"/>
      <protection/>
    </xf>
    <xf numFmtId="193" fontId="16" fillId="33" borderId="25" xfId="58" applyNumberFormat="1" applyFont="1" applyFill="1" applyBorder="1" applyAlignment="1" applyProtection="1">
      <alignment horizontal="right" vertical="center"/>
      <protection/>
    </xf>
    <xf numFmtId="193" fontId="16" fillId="0" borderId="0" xfId="58" applyNumberFormat="1" applyFont="1" applyFill="1" applyBorder="1" applyAlignment="1" applyProtection="1">
      <alignment horizontal="right" vertical="center"/>
      <protection/>
    </xf>
    <xf numFmtId="193" fontId="16" fillId="33" borderId="25" xfId="58" applyNumberFormat="1" applyFont="1" applyFill="1" applyBorder="1" applyAlignment="1" applyProtection="1">
      <alignment vertical="center"/>
      <protection/>
    </xf>
    <xf numFmtId="0" fontId="16" fillId="32" borderId="0" xfId="37" applyNumberFormat="1" applyFont="1" applyFill="1" applyBorder="1" applyAlignment="1" applyProtection="1">
      <alignment vertical="center"/>
      <protection/>
    </xf>
    <xf numFmtId="0" fontId="18" fillId="0" borderId="12" xfId="37" applyNumberFormat="1" applyFont="1" applyFill="1" applyBorder="1" applyAlignment="1" applyProtection="1">
      <alignment vertical="center" wrapText="1"/>
      <protection/>
    </xf>
    <xf numFmtId="0" fontId="18" fillId="0" borderId="0" xfId="37" applyNumberFormat="1" applyFont="1" applyFill="1" applyBorder="1" applyAlignment="1" applyProtection="1">
      <alignment vertical="center" wrapText="1"/>
      <protection/>
    </xf>
    <xf numFmtId="193" fontId="16" fillId="0" borderId="12" xfId="5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vertical="top" wrapText="1"/>
    </xf>
    <xf numFmtId="0" fontId="28" fillId="32" borderId="0" xfId="37" applyNumberFormat="1" applyFont="1" applyFill="1" applyBorder="1" applyAlignment="1" applyProtection="1">
      <alignment vertical="center"/>
      <protection/>
    </xf>
    <xf numFmtId="0" fontId="18" fillId="32" borderId="0" xfId="37" applyNumberFormat="1" applyFont="1" applyFill="1" applyBorder="1" applyAlignment="1" applyProtection="1">
      <alignment vertical="center"/>
      <protection/>
    </xf>
    <xf numFmtId="193" fontId="22" fillId="0" borderId="19" xfId="58" applyNumberFormat="1" applyFont="1" applyFill="1" applyBorder="1" applyAlignment="1" applyProtection="1">
      <alignment vertical="center"/>
      <protection/>
    </xf>
    <xf numFmtId="193" fontId="22" fillId="0" borderId="0" xfId="58" applyNumberFormat="1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 vertical="top" wrapText="1"/>
    </xf>
    <xf numFmtId="193" fontId="16" fillId="33" borderId="12" xfId="5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2" borderId="0" xfId="0" applyFont="1" applyFill="1" applyAlignment="1" applyProtection="1">
      <alignment/>
      <protection locked="0"/>
    </xf>
    <xf numFmtId="0" fontId="18" fillId="32" borderId="0" xfId="37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37" fillId="34" borderId="0" xfId="0" applyFont="1" applyFill="1" applyAlignment="1">
      <alignment horizontal="center" vertical="center" wrapText="1"/>
    </xf>
    <xf numFmtId="0" fontId="38" fillId="35" borderId="0" xfId="0" applyFont="1" applyFill="1" applyAlignment="1">
      <alignment vertical="center" wrapText="1"/>
    </xf>
    <xf numFmtId="0" fontId="2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18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top"/>
      <protection/>
    </xf>
    <xf numFmtId="0" fontId="28" fillId="34" borderId="0" xfId="35" applyFont="1" applyFill="1" applyBorder="1" applyAlignment="1">
      <alignment vertical="center"/>
      <protection/>
    </xf>
    <xf numFmtId="0" fontId="28" fillId="34" borderId="0" xfId="36" applyFont="1" applyFill="1" applyAlignment="1">
      <alignment horizontal="right"/>
      <protection/>
    </xf>
    <xf numFmtId="0" fontId="28" fillId="34" borderId="0" xfId="36" applyFont="1" applyFill="1" applyAlignment="1">
      <alignment horizontal="left"/>
      <protection/>
    </xf>
    <xf numFmtId="0" fontId="30" fillId="34" borderId="0" xfId="35" applyFont="1" applyFill="1" applyBorder="1" applyAlignment="1">
      <alignment vertical="center"/>
      <protection/>
    </xf>
    <xf numFmtId="0" fontId="24" fillId="32" borderId="0" xfId="0" applyFont="1" applyFill="1" applyBorder="1" applyAlignment="1">
      <alignment horizontal="right"/>
    </xf>
    <xf numFmtId="0" fontId="17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wrapText="1"/>
      <protection/>
    </xf>
    <xf numFmtId="0" fontId="37" fillId="35" borderId="0" xfId="40" applyFont="1" applyFill="1" applyBorder="1" applyAlignment="1" applyProtection="1">
      <alignment horizontal="left" vertical="center" wrapText="1"/>
      <protection hidden="1"/>
    </xf>
    <xf numFmtId="0" fontId="37" fillId="35" borderId="0" xfId="40" applyFont="1" applyFill="1" applyBorder="1" applyProtection="1">
      <alignment/>
      <protection/>
    </xf>
    <xf numFmtId="0" fontId="37" fillId="35" borderId="0" xfId="40" applyFont="1" applyFill="1" applyBorder="1" applyAlignment="1" applyProtection="1">
      <alignment horizontal="left" vertical="center" wrapText="1"/>
      <protection/>
    </xf>
    <xf numFmtId="0" fontId="37" fillId="35" borderId="0" xfId="40" applyFont="1" applyFill="1" applyBorder="1" applyAlignment="1" applyProtection="1">
      <alignment horizontal="centerContinuous"/>
      <protection hidden="1"/>
    </xf>
    <xf numFmtId="0" fontId="22" fillId="34" borderId="12" xfId="0" applyFont="1" applyFill="1" applyBorder="1" applyAlignment="1">
      <alignment/>
    </xf>
    <xf numFmtId="0" fontId="37" fillId="34" borderId="12" xfId="40" applyFont="1" applyFill="1" applyBorder="1" applyAlignment="1" applyProtection="1">
      <alignment horizontal="left" vertical="center" wrapText="1"/>
      <protection/>
    </xf>
    <xf numFmtId="0" fontId="35" fillId="34" borderId="12" xfId="0" applyFont="1" applyFill="1" applyBorder="1" applyAlignment="1">
      <alignment/>
    </xf>
    <xf numFmtId="49" fontId="37" fillId="35" borderId="0" xfId="40" applyNumberFormat="1" applyFont="1" applyFill="1" applyBorder="1" applyAlignment="1" applyProtection="1">
      <alignment vertical="center"/>
      <protection hidden="1"/>
    </xf>
    <xf numFmtId="193" fontId="34" fillId="0" borderId="10" xfId="0" applyNumberFormat="1" applyFont="1" applyBorder="1" applyAlignment="1">
      <alignment/>
    </xf>
    <xf numFmtId="0" fontId="40" fillId="35" borderId="0" xfId="40" applyNumberFormat="1" applyFont="1" applyFill="1" applyBorder="1" applyAlignment="1" applyProtection="1">
      <alignment vertical="center"/>
      <protection locked="0"/>
    </xf>
    <xf numFmtId="0" fontId="37" fillId="35" borderId="0" xfId="40" applyFont="1" applyFill="1" applyBorder="1" applyProtection="1">
      <alignment/>
      <protection locked="0"/>
    </xf>
    <xf numFmtId="0" fontId="37" fillId="35" borderId="0" xfId="40" applyFont="1" applyFill="1" applyBorder="1" applyAlignment="1" applyProtection="1">
      <alignment horizontal="left" vertical="center" wrapText="1"/>
      <protection locked="0"/>
    </xf>
    <xf numFmtId="193" fontId="34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16" fillId="34" borderId="10" xfId="40" applyFont="1" applyFill="1" applyBorder="1" applyAlignment="1" applyProtection="1">
      <alignment horizontal="left" vertical="center" wrapText="1"/>
      <protection/>
    </xf>
    <xf numFmtId="193" fontId="18" fillId="0" borderId="22" xfId="0" applyNumberFormat="1" applyFont="1" applyBorder="1" applyAlignment="1">
      <alignment/>
    </xf>
    <xf numFmtId="193" fontId="18" fillId="0" borderId="10" xfId="0" applyNumberFormat="1" applyFont="1" applyBorder="1" applyAlignment="1">
      <alignment/>
    </xf>
    <xf numFmtId="0" fontId="16" fillId="35" borderId="0" xfId="40" applyFont="1" applyFill="1" applyBorder="1" applyAlignment="1" applyProtection="1">
      <alignment horizontal="centerContinuous" vertical="center" wrapText="1"/>
      <protection hidden="1"/>
    </xf>
    <xf numFmtId="0" fontId="16" fillId="35" borderId="0" xfId="40" applyFont="1" applyFill="1" applyBorder="1" applyProtection="1">
      <alignment/>
      <protection/>
    </xf>
    <xf numFmtId="0" fontId="16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textRotation="90" wrapText="1"/>
      <protection hidden="1"/>
    </xf>
    <xf numFmtId="0" fontId="34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6" fillId="35" borderId="0" xfId="40" applyFont="1" applyFill="1" applyBorder="1" applyAlignment="1" applyProtection="1">
      <alignment horizontal="center" vertical="center" wrapText="1"/>
      <protection hidden="1"/>
    </xf>
    <xf numFmtId="2" fontId="16" fillId="35" borderId="0" xfId="40" applyNumberFormat="1" applyFont="1" applyFill="1" applyBorder="1" applyAlignment="1" applyProtection="1">
      <alignment horizontal="right" vertical="center" wrapText="1"/>
      <protection hidden="1"/>
    </xf>
    <xf numFmtId="0" fontId="34" fillId="33" borderId="16" xfId="0" applyFont="1" applyFill="1" applyBorder="1" applyAlignment="1">
      <alignment/>
    </xf>
    <xf numFmtId="193" fontId="34" fillId="33" borderId="13" xfId="0" applyNumberFormat="1" applyFont="1" applyFill="1" applyBorder="1" applyAlignment="1">
      <alignment/>
    </xf>
    <xf numFmtId="193" fontId="34" fillId="33" borderId="10" xfId="0" applyNumberFormat="1" applyFont="1" applyFill="1" applyBorder="1" applyAlignment="1">
      <alignment/>
    </xf>
    <xf numFmtId="193" fontId="17" fillId="35" borderId="0" xfId="40" applyNumberFormat="1" applyFont="1" applyFill="1" applyBorder="1" applyAlignment="1" applyProtection="1">
      <alignment wrapText="1"/>
      <protection hidden="1"/>
    </xf>
    <xf numFmtId="0" fontId="17" fillId="35" borderId="0" xfId="40" applyFont="1" applyFill="1" applyBorder="1" applyProtection="1">
      <alignment/>
      <protection/>
    </xf>
    <xf numFmtId="0" fontId="18" fillId="34" borderId="12" xfId="0" applyFont="1" applyFill="1" applyBorder="1" applyAlignment="1">
      <alignment/>
    </xf>
    <xf numFmtId="193" fontId="28" fillId="33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18" fillId="34" borderId="21" xfId="0" applyFont="1" applyFill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21" xfId="0" applyNumberFormat="1" applyFont="1" applyBorder="1" applyAlignment="1">
      <alignment/>
    </xf>
    <xf numFmtId="0" fontId="18" fillId="35" borderId="0" xfId="40" applyFont="1" applyFill="1" applyBorder="1" applyAlignment="1" applyProtection="1">
      <alignment horizontal="left" vertical="center" wrapText="1"/>
      <protection/>
    </xf>
    <xf numFmtId="0" fontId="42" fillId="35" borderId="0" xfId="40" applyFont="1" applyFill="1" applyBorder="1" applyAlignment="1" applyProtection="1">
      <alignment wrapText="1"/>
      <protection hidden="1"/>
    </xf>
    <xf numFmtId="0" fontId="16" fillId="35" borderId="0" xfId="40" applyFont="1" applyFill="1" applyBorder="1" applyAlignment="1" applyProtection="1">
      <alignment horizontal="left" vertical="center" wrapText="1"/>
      <protection hidden="1"/>
    </xf>
    <xf numFmtId="0" fontId="36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193" fontId="16" fillId="35" borderId="0" xfId="40" applyNumberFormat="1" applyFont="1" applyFill="1" applyBorder="1" applyAlignment="1" applyProtection="1">
      <alignment wrapText="1"/>
      <protection hidden="1"/>
    </xf>
    <xf numFmtId="0" fontId="34" fillId="0" borderId="21" xfId="0" applyNumberFormat="1" applyFont="1" applyBorder="1" applyAlignment="1">
      <alignment horizontal="left" vertical="distributed"/>
    </xf>
    <xf numFmtId="193" fontId="34" fillId="0" borderId="21" xfId="0" applyNumberFormat="1" applyFont="1" applyBorder="1" applyAlignment="1">
      <alignment/>
    </xf>
    <xf numFmtId="0" fontId="34" fillId="33" borderId="10" xfId="0" applyNumberFormat="1" applyFont="1" applyFill="1" applyBorder="1" applyAlignment="1">
      <alignment horizontal="left" vertical="distributed"/>
    </xf>
    <xf numFmtId="49" fontId="17" fillId="35" borderId="0" xfId="40" applyNumberFormat="1" applyFont="1" applyFill="1" applyBorder="1" applyAlignment="1" applyProtection="1">
      <alignment horizontal="left" vertical="center" wrapText="1"/>
      <protection hidden="1"/>
    </xf>
    <xf numFmtId="0" fontId="17" fillId="35" borderId="0" xfId="40" applyFont="1" applyFill="1" applyBorder="1" applyAlignment="1" applyProtection="1">
      <alignment horizontal="left" vertical="center" wrapText="1"/>
      <protection hidden="1"/>
    </xf>
    <xf numFmtId="193" fontId="43" fillId="35" borderId="0" xfId="40" applyNumberFormat="1" applyFont="1" applyFill="1" applyBorder="1" applyAlignment="1" applyProtection="1">
      <alignment wrapText="1"/>
      <protection locked="0"/>
    </xf>
    <xf numFmtId="193" fontId="17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Alignment="1" applyProtection="1">
      <alignment horizontal="center" vertical="center"/>
      <protection hidden="1"/>
    </xf>
    <xf numFmtId="193" fontId="43" fillId="35" borderId="0" xfId="40" applyNumberFormat="1" applyFont="1" applyFill="1" applyBorder="1" applyAlignment="1" applyProtection="1">
      <alignment/>
      <protection locked="0"/>
    </xf>
    <xf numFmtId="49" fontId="17" fillId="35" borderId="0" xfId="40" applyNumberFormat="1" applyFont="1" applyFill="1" applyBorder="1" applyAlignment="1" applyProtection="1">
      <alignment horizontal="center" vertical="center" wrapText="1"/>
      <protection hidden="1"/>
    </xf>
    <xf numFmtId="0" fontId="31" fillId="35" borderId="0" xfId="40" applyFont="1" applyFill="1" applyBorder="1" applyAlignment="1" applyProtection="1">
      <alignment horizontal="left" vertical="center" wrapText="1"/>
      <protection/>
    </xf>
    <xf numFmtId="193" fontId="17" fillId="35" borderId="0" xfId="40" applyNumberFormat="1" applyFont="1" applyFill="1" applyBorder="1" applyAlignment="1" applyProtection="1">
      <alignment/>
      <protection locked="0"/>
    </xf>
    <xf numFmtId="0" fontId="31" fillId="35" borderId="0" xfId="40" applyFont="1" applyFill="1" applyBorder="1" applyProtection="1">
      <alignment/>
      <protection/>
    </xf>
    <xf numFmtId="193" fontId="31" fillId="35" borderId="0" xfId="40" applyNumberFormat="1" applyFont="1" applyFill="1" applyBorder="1" applyAlignment="1" applyProtection="1">
      <alignment/>
      <protection locked="0"/>
    </xf>
    <xf numFmtId="193" fontId="31" fillId="35" borderId="0" xfId="40" applyNumberFormat="1" applyFont="1" applyFill="1" applyBorder="1" applyAlignment="1" applyProtection="1">
      <alignment wrapText="1"/>
      <protection locked="0"/>
    </xf>
    <xf numFmtId="49" fontId="16" fillId="35" borderId="0" xfId="40" applyNumberFormat="1" applyFont="1" applyFill="1" applyBorder="1" applyAlignment="1" applyProtection="1">
      <alignment horizontal="center" vertical="center"/>
      <protection hidden="1"/>
    </xf>
    <xf numFmtId="0" fontId="17" fillId="35" borderId="0" xfId="40" applyFont="1" applyFill="1" applyBorder="1" applyProtection="1">
      <alignment/>
      <protection hidden="1"/>
    </xf>
    <xf numFmtId="193" fontId="16" fillId="35" borderId="0" xfId="40" applyNumberFormat="1" applyFont="1" applyFill="1" applyBorder="1" applyAlignment="1" applyProtection="1">
      <alignment/>
      <protection hidden="1"/>
    </xf>
    <xf numFmtId="0" fontId="16" fillId="35" borderId="0" xfId="40" applyFont="1" applyFill="1" applyBorder="1" applyProtection="1">
      <alignment/>
      <protection hidden="1"/>
    </xf>
    <xf numFmtId="0" fontId="16" fillId="35" borderId="0" xfId="40" applyFont="1" applyFill="1" applyBorder="1" applyAlignment="1" applyProtection="1">
      <alignment vertical="center" wrapText="1"/>
      <protection hidden="1"/>
    </xf>
    <xf numFmtId="0" fontId="16" fillId="35" borderId="0" xfId="40" applyFont="1" applyFill="1" applyBorder="1" applyAlignment="1" applyProtection="1">
      <alignment horizontal="left" vertical="center"/>
      <protection hidden="1"/>
    </xf>
    <xf numFmtId="0" fontId="16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 vertical="center" wrapText="1"/>
      <protection hidden="1"/>
    </xf>
    <xf numFmtId="49" fontId="17" fillId="35" borderId="0" xfId="40" applyNumberFormat="1" applyFont="1" applyFill="1" applyBorder="1" applyProtection="1">
      <alignment/>
      <protection hidden="1"/>
    </xf>
    <xf numFmtId="49" fontId="17" fillId="35" borderId="0" xfId="40" applyNumberFormat="1" applyFont="1" applyFill="1" applyBorder="1" applyAlignment="1" applyProtection="1">
      <alignment/>
      <protection hidden="1"/>
    </xf>
    <xf numFmtId="0" fontId="17" fillId="35" borderId="0" xfId="40" applyFont="1" applyFill="1" applyBorder="1" applyAlignment="1" applyProtection="1">
      <alignment horizontal="left" vertical="center"/>
      <protection/>
    </xf>
    <xf numFmtId="0" fontId="17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/>
      <protection/>
    </xf>
    <xf numFmtId="0" fontId="16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Protection="1">
      <alignment/>
      <protection/>
    </xf>
    <xf numFmtId="0" fontId="17" fillId="35" borderId="0" xfId="40" applyFont="1" applyFill="1" applyBorder="1" applyAlignment="1" applyProtection="1">
      <alignment vertical="center" wrapText="1"/>
      <protection/>
    </xf>
    <xf numFmtId="0" fontId="17" fillId="35" borderId="0" xfId="40" applyFont="1" applyFill="1" applyBorder="1" applyAlignment="1" applyProtection="1">
      <alignment horizontal="right" vertical="center"/>
      <protection/>
    </xf>
    <xf numFmtId="0" fontId="17" fillId="35" borderId="0" xfId="34" applyFont="1" applyFill="1" applyBorder="1" applyProtection="1">
      <alignment/>
      <protection/>
    </xf>
    <xf numFmtId="49" fontId="17" fillId="35" borderId="0" xfId="40" applyNumberFormat="1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5" borderId="0" xfId="0" applyFont="1" applyFill="1" applyAlignment="1">
      <alignment horizontal="right"/>
    </xf>
    <xf numFmtId="0" fontId="39" fillId="34" borderId="0" xfId="0" applyFont="1" applyFill="1" applyAlignment="1">
      <alignment vertical="center" wrapText="1"/>
    </xf>
    <xf numFmtId="14" fontId="18" fillId="35" borderId="0" xfId="0" applyNumberFormat="1" applyFont="1" applyFill="1" applyAlignment="1">
      <alignment/>
    </xf>
    <xf numFmtId="0" fontId="18" fillId="34" borderId="22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18" fillId="34" borderId="13" xfId="0" applyFont="1" applyFill="1" applyBorder="1" applyAlignment="1">
      <alignment/>
    </xf>
    <xf numFmtId="193" fontId="18" fillId="0" borderId="13" xfId="0" applyNumberFormat="1" applyFont="1" applyBorder="1" applyAlignment="1">
      <alignment/>
    </xf>
    <xf numFmtId="0" fontId="34" fillId="34" borderId="21" xfId="40" applyFont="1" applyFill="1" applyBorder="1" applyAlignment="1" applyProtection="1">
      <alignment horizontal="left" vertical="center" wrapText="1"/>
      <protection locked="0"/>
    </xf>
    <xf numFmtId="0" fontId="34" fillId="34" borderId="20" xfId="40" applyFont="1" applyFill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>
      <alignment/>
    </xf>
    <xf numFmtId="0" fontId="34" fillId="34" borderId="10" xfId="40" applyFont="1" applyFill="1" applyBorder="1" applyAlignment="1" applyProtection="1">
      <alignment horizontal="left" vertical="center" wrapText="1"/>
      <protection/>
    </xf>
    <xf numFmtId="0" fontId="34" fillId="34" borderId="22" xfId="40" applyFont="1" applyFill="1" applyBorder="1" applyAlignment="1" applyProtection="1">
      <alignment horizontal="left" vertical="center" wrapText="1"/>
      <protection/>
    </xf>
    <xf numFmtId="193" fontId="35" fillId="0" borderId="22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0" borderId="13" xfId="0" applyFont="1" applyBorder="1" applyAlignment="1">
      <alignment/>
    </xf>
    <xf numFmtId="193" fontId="35" fillId="0" borderId="13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8" fillId="35" borderId="0" xfId="33" applyFont="1" applyFill="1">
      <alignment/>
      <protection/>
    </xf>
    <xf numFmtId="0" fontId="34" fillId="0" borderId="10" xfId="33" applyFont="1" applyBorder="1" applyAlignment="1">
      <alignment horizontal="center" wrapText="1"/>
      <protection/>
    </xf>
    <xf numFmtId="0" fontId="35" fillId="0" borderId="10" xfId="33" applyFont="1" applyBorder="1">
      <alignment/>
      <protection/>
    </xf>
    <xf numFmtId="177" fontId="35" fillId="0" borderId="10" xfId="33" applyNumberFormat="1" applyFont="1" applyBorder="1" applyAlignment="1">
      <alignment vertical="center"/>
      <protection/>
    </xf>
    <xf numFmtId="0" fontId="35" fillId="0" borderId="10" xfId="33" applyFont="1" applyBorder="1" applyAlignment="1">
      <alignment wrapText="1"/>
      <protection/>
    </xf>
    <xf numFmtId="0" fontId="28" fillId="0" borderId="10" xfId="33" applyFont="1" applyFill="1" applyBorder="1">
      <alignment/>
      <protection/>
    </xf>
    <xf numFmtId="177" fontId="35" fillId="0" borderId="10" xfId="33" applyNumberFormat="1" applyFont="1" applyFill="1" applyBorder="1">
      <alignment/>
      <protection/>
    </xf>
    <xf numFmtId="177" fontId="35" fillId="0" borderId="10" xfId="33" applyNumberFormat="1" applyFont="1" applyBorder="1">
      <alignment/>
      <protection/>
    </xf>
    <xf numFmtId="0" fontId="35" fillId="0" borderId="10" xfId="33" applyFont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177" fontId="35" fillId="0" borderId="10" xfId="33" applyNumberFormat="1" applyFont="1" applyFill="1" applyBorder="1" applyAlignment="1">
      <alignment vertical="center"/>
      <protection/>
    </xf>
    <xf numFmtId="0" fontId="28" fillId="0" borderId="10" xfId="33" applyFont="1" applyFill="1" applyBorder="1" applyAlignment="1">
      <alignment vertical="center" wrapText="1"/>
      <protection/>
    </xf>
    <xf numFmtId="177" fontId="18" fillId="0" borderId="10" xfId="33" applyNumberFormat="1" applyFont="1" applyFill="1" applyBorder="1" applyAlignment="1">
      <alignment vertical="center"/>
      <protection/>
    </xf>
    <xf numFmtId="0" fontId="28" fillId="33" borderId="10" xfId="33" applyFont="1" applyFill="1" applyBorder="1" applyAlignment="1">
      <alignment wrapText="1"/>
      <protection/>
    </xf>
    <xf numFmtId="177" fontId="28" fillId="33" borderId="10" xfId="33" applyNumberFormat="1" applyFont="1" applyFill="1" applyBorder="1">
      <alignment/>
      <protection/>
    </xf>
    <xf numFmtId="177" fontId="18" fillId="35" borderId="0" xfId="33" applyNumberFormat="1" applyFont="1" applyFill="1">
      <alignment/>
      <protection/>
    </xf>
    <xf numFmtId="2" fontId="18" fillId="35" borderId="0" xfId="33" applyNumberFormat="1" applyFont="1" applyFill="1">
      <alignment/>
      <protection/>
    </xf>
    <xf numFmtId="177" fontId="7" fillId="0" borderId="10" xfId="33" applyNumberFormat="1" applyFont="1" applyBorder="1">
      <alignment/>
      <protection/>
    </xf>
    <xf numFmtId="0" fontId="7" fillId="35" borderId="0" xfId="0" applyFont="1" applyFill="1" applyAlignment="1">
      <alignment/>
    </xf>
    <xf numFmtId="177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35" borderId="0" xfId="0" applyFont="1" applyFill="1" applyAlignment="1">
      <alignment/>
    </xf>
    <xf numFmtId="0" fontId="18" fillId="0" borderId="10" xfId="0" applyFont="1" applyBorder="1" applyAlignment="1">
      <alignment wrapText="1"/>
    </xf>
    <xf numFmtId="177" fontId="28" fillId="33" borderId="10" xfId="0" applyNumberFormat="1" applyFont="1" applyFill="1" applyBorder="1" applyAlignment="1">
      <alignment/>
    </xf>
    <xf numFmtId="20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9" fontId="18" fillId="0" borderId="22" xfId="68" applyFont="1" applyBorder="1" applyAlignment="1">
      <alignment/>
    </xf>
    <xf numFmtId="0" fontId="18" fillId="0" borderId="22" xfId="0" applyFont="1" applyBorder="1" applyAlignment="1">
      <alignment wrapText="1"/>
    </xf>
    <xf numFmtId="177" fontId="28" fillId="33" borderId="22" xfId="0" applyNumberFormat="1" applyFont="1" applyFill="1" applyBorder="1" applyAlignment="1">
      <alignment/>
    </xf>
    <xf numFmtId="177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wrapText="1"/>
    </xf>
    <xf numFmtId="9" fontId="18" fillId="0" borderId="10" xfId="68" applyFont="1" applyBorder="1" applyAlignment="1">
      <alignment/>
    </xf>
    <xf numFmtId="9" fontId="28" fillId="33" borderId="10" xfId="68" applyFont="1" applyFill="1" applyBorder="1" applyAlignment="1">
      <alignment/>
    </xf>
    <xf numFmtId="14" fontId="2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177" fontId="18" fillId="0" borderId="10" xfId="33" applyNumberFormat="1" applyFont="1" applyBorder="1">
      <alignment/>
      <protection/>
    </xf>
    <xf numFmtId="204" fontId="28" fillId="0" borderId="10" xfId="33" applyNumberFormat="1" applyFont="1" applyBorder="1" applyAlignment="1">
      <alignment horizontal="center"/>
      <protection/>
    </xf>
    <xf numFmtId="14" fontId="28" fillId="0" borderId="10" xfId="33" applyNumberFormat="1" applyFont="1" applyBorder="1" applyAlignment="1">
      <alignment horizontal="center"/>
      <protection/>
    </xf>
    <xf numFmtId="177" fontId="28" fillId="0" borderId="10" xfId="33" applyNumberFormat="1" applyFont="1" applyBorder="1">
      <alignment/>
      <protection/>
    </xf>
    <xf numFmtId="177" fontId="28" fillId="0" borderId="10" xfId="33" applyNumberFormat="1" applyFont="1" applyFill="1" applyBorder="1">
      <alignment/>
      <protection/>
    </xf>
    <xf numFmtId="177" fontId="18" fillId="0" borderId="10" xfId="33" applyNumberFormat="1" applyFont="1" applyFill="1" applyBorder="1">
      <alignment/>
      <protection/>
    </xf>
    <xf numFmtId="20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16" fillId="33" borderId="24" xfId="38" applyNumberFormat="1" applyFont="1" applyFill="1" applyBorder="1" applyAlignment="1">
      <alignment vertical="center"/>
      <protection/>
    </xf>
    <xf numFmtId="193" fontId="17" fillId="33" borderId="19" xfId="0" applyNumberFormat="1" applyFont="1" applyFill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193" fontId="16" fillId="0" borderId="0" xfId="38" applyNumberFormat="1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0" fontId="16" fillId="33" borderId="19" xfId="0" applyFont="1" applyFill="1" applyBorder="1" applyAlignment="1">
      <alignment horizontal="left" vertical="center"/>
    </xf>
    <xf numFmtId="193" fontId="16" fillId="33" borderId="24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vertical="center"/>
      <protection/>
    </xf>
    <xf numFmtId="193" fontId="17" fillId="0" borderId="19" xfId="0" applyNumberFormat="1" applyFont="1" applyFill="1" applyBorder="1" applyAlignment="1">
      <alignment/>
    </xf>
    <xf numFmtId="0" fontId="16" fillId="35" borderId="0" xfId="33" applyFont="1" applyFill="1" applyBorder="1" applyAlignment="1">
      <alignment/>
      <protection/>
    </xf>
    <xf numFmtId="0" fontId="18" fillId="35" borderId="0" xfId="0" applyFont="1" applyFill="1" applyBorder="1" applyAlignment="1" quotePrefix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25" xfId="0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177" fontId="17" fillId="0" borderId="19" xfId="38" applyNumberFormat="1" applyFont="1" applyFill="1" applyBorder="1" applyAlignment="1">
      <alignment vertical="center"/>
      <protection/>
    </xf>
    <xf numFmtId="0" fontId="33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9" fontId="18" fillId="34" borderId="10" xfId="41" applyFont="1" applyFill="1" applyBorder="1" applyAlignment="1">
      <alignment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7" fillId="35" borderId="0" xfId="0" applyFont="1" applyFill="1" applyAlignment="1">
      <alignment/>
    </xf>
    <xf numFmtId="3" fontId="42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177" fontId="42" fillId="34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177" fontId="42" fillId="34" borderId="0" xfId="36" applyNumberFormat="1" applyFont="1" applyFill="1" applyBorder="1" applyAlignment="1">
      <alignment horizontal="right"/>
      <protection/>
    </xf>
    <xf numFmtId="0" fontId="42" fillId="34" borderId="0" xfId="36" applyFont="1" applyFill="1" applyBorder="1" applyAlignment="1">
      <alignment horizontal="right"/>
      <protection/>
    </xf>
    <xf numFmtId="0" fontId="28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/>
    </xf>
    <xf numFmtId="0" fontId="17" fillId="32" borderId="0" xfId="37" applyNumberFormat="1" applyFont="1" applyFill="1" applyBorder="1" applyAlignment="1" applyProtection="1">
      <alignment/>
      <protection/>
    </xf>
    <xf numFmtId="193" fontId="42" fillId="34" borderId="0" xfId="58" applyNumberFormat="1" applyFont="1" applyFill="1" applyBorder="1" applyAlignment="1" applyProtection="1">
      <alignment horizontal="right" vertical="center"/>
      <protection/>
    </xf>
    <xf numFmtId="193" fontId="42" fillId="34" borderId="0" xfId="58" applyNumberFormat="1" applyFont="1" applyFill="1" applyBorder="1" applyAlignment="1" applyProtection="1">
      <alignment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43" fillId="0" borderId="0" xfId="40" applyNumberFormat="1" applyFont="1" applyFill="1" applyBorder="1" applyAlignment="1" applyProtection="1">
      <alignment wrapText="1"/>
      <protection locked="0"/>
    </xf>
    <xf numFmtId="0" fontId="42" fillId="0" borderId="0" xfId="4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Alignment="1">
      <alignment/>
    </xf>
    <xf numFmtId="193" fontId="42" fillId="0" borderId="0" xfId="40" applyNumberFormat="1" applyFont="1" applyFill="1" applyBorder="1" applyAlignment="1" applyProtection="1">
      <alignment wrapText="1"/>
      <protection locked="0"/>
    </xf>
    <xf numFmtId="193" fontId="42" fillId="0" borderId="0" xfId="40" applyNumberFormat="1" applyFont="1" applyFill="1" applyBorder="1" applyAlignment="1" applyProtection="1">
      <alignment/>
      <protection hidden="1"/>
    </xf>
    <xf numFmtId="49" fontId="42" fillId="0" borderId="0" xfId="40" applyNumberFormat="1" applyFont="1" applyFill="1" applyBorder="1" applyAlignment="1" applyProtection="1">
      <alignment horizontal="center" vertical="center"/>
      <protection hidden="1"/>
    </xf>
    <xf numFmtId="193" fontId="39" fillId="0" borderId="0" xfId="40" applyNumberFormat="1" applyFont="1" applyFill="1" applyBorder="1" applyAlignment="1" applyProtection="1">
      <alignment wrapText="1"/>
      <protection locked="0"/>
    </xf>
    <xf numFmtId="193" fontId="39" fillId="34" borderId="0" xfId="58" applyNumberFormat="1" applyFont="1" applyFill="1" applyBorder="1" applyAlignment="1" applyProtection="1">
      <alignment horizontal="right" vertical="center"/>
      <protection/>
    </xf>
    <xf numFmtId="0" fontId="48" fillId="34" borderId="0" xfId="35" applyFont="1" applyFill="1" applyBorder="1" applyAlignment="1">
      <alignment vertical="center"/>
      <protection/>
    </xf>
    <xf numFmtId="0" fontId="43" fillId="34" borderId="0" xfId="37" applyNumberFormat="1" applyFont="1" applyFill="1" applyBorder="1" applyAlignment="1" applyProtection="1">
      <alignment vertical="center"/>
      <protection/>
    </xf>
    <xf numFmtId="193" fontId="39" fillId="34" borderId="0" xfId="58" applyNumberFormat="1" applyFont="1" applyFill="1" applyBorder="1" applyAlignment="1" applyProtection="1">
      <alignment vertical="center"/>
      <protection/>
    </xf>
    <xf numFmtId="0" fontId="39" fillId="34" borderId="0" xfId="36" applyFont="1" applyFill="1" applyBorder="1" applyAlignment="1">
      <alignment horizontal="right"/>
      <protection/>
    </xf>
    <xf numFmtId="0" fontId="43" fillId="34" borderId="0" xfId="36" applyFont="1" applyFill="1" applyBorder="1" applyAlignment="1">
      <alignment horizontal="center"/>
      <protection/>
    </xf>
    <xf numFmtId="177" fontId="39" fillId="34" borderId="0" xfId="36" applyNumberFormat="1" applyFont="1" applyFill="1" applyBorder="1" applyAlignment="1">
      <alignment horizontal="right"/>
      <protection/>
    </xf>
    <xf numFmtId="0" fontId="43" fillId="34" borderId="0" xfId="0" applyFon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177" fontId="39" fillId="34" borderId="0" xfId="0" applyNumberFormat="1" applyFont="1" applyFill="1" applyBorder="1" applyAlignment="1">
      <alignment horizontal="right"/>
    </xf>
    <xf numFmtId="0" fontId="17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/>
    </xf>
    <xf numFmtId="193" fontId="47" fillId="0" borderId="0" xfId="0" applyNumberFormat="1" applyFont="1" applyFill="1" applyAlignment="1">
      <alignment/>
    </xf>
    <xf numFmtId="193" fontId="50" fillId="0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93" fontId="28" fillId="0" borderId="10" xfId="0" applyNumberFormat="1" applyFont="1" applyBorder="1" applyAlignment="1">
      <alignment/>
    </xf>
    <xf numFmtId="193" fontId="28" fillId="0" borderId="0" xfId="0" applyNumberFormat="1" applyFont="1" applyAlignment="1">
      <alignment/>
    </xf>
    <xf numFmtId="193" fontId="16" fillId="33" borderId="1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0" fontId="18" fillId="0" borderId="10" xfId="33" applyFont="1" applyBorder="1">
      <alignment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5" fillId="35" borderId="0" xfId="33" applyFont="1" applyFill="1">
      <alignment/>
      <protection/>
    </xf>
    <xf numFmtId="0" fontId="18" fillId="35" borderId="0" xfId="33" applyFont="1" applyFill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193" fontId="18" fillId="0" borderId="21" xfId="0" applyNumberFormat="1" applyFont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93" fontId="28" fillId="33" borderId="10" xfId="0" applyNumberFormat="1" applyFont="1" applyFill="1" applyBorder="1" applyAlignment="1">
      <alignment/>
    </xf>
    <xf numFmtId="0" fontId="50" fillId="35" borderId="0" xfId="0" applyFont="1" applyFill="1" applyAlignment="1">
      <alignment horizontal="right"/>
    </xf>
    <xf numFmtId="193" fontId="50" fillId="35" borderId="0" xfId="0" applyNumberFormat="1" applyFont="1" applyFill="1" applyAlignment="1">
      <alignment/>
    </xf>
    <xf numFmtId="177" fontId="18" fillId="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/>
    </xf>
    <xf numFmtId="193" fontId="18" fillId="0" borderId="10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Border="1" applyAlignment="1">
      <alignment horizontal="center" vertical="distributed"/>
    </xf>
    <xf numFmtId="49" fontId="28" fillId="0" borderId="10" xfId="0" applyNumberFormat="1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204" fontId="2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/>
    </xf>
    <xf numFmtId="0" fontId="28" fillId="0" borderId="10" xfId="0" applyNumberFormat="1" applyFont="1" applyBorder="1" applyAlignment="1">
      <alignment horizontal="center" vertical="center"/>
    </xf>
    <xf numFmtId="9" fontId="18" fillId="0" borderId="10" xfId="41" applyFont="1" applyBorder="1" applyAlignment="1">
      <alignment/>
    </xf>
    <xf numFmtId="193" fontId="2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/>
    </xf>
    <xf numFmtId="16" fontId="18" fillId="35" borderId="0" xfId="0" applyNumberFormat="1" applyFont="1" applyFill="1" applyAlignment="1">
      <alignment/>
    </xf>
    <xf numFmtId="0" fontId="17" fillId="0" borderId="19" xfId="38" applyNumberFormat="1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193" fontId="16" fillId="33" borderId="25" xfId="58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>
      <alignment/>
    </xf>
    <xf numFmtId="177" fontId="52" fillId="0" borderId="10" xfId="33" applyNumberFormat="1" applyFont="1" applyBorder="1" applyAlignment="1">
      <alignment vertical="center"/>
      <protection/>
    </xf>
    <xf numFmtId="0" fontId="18" fillId="34" borderId="10" xfId="33" applyFont="1" applyFill="1" applyBorder="1">
      <alignment/>
      <protection/>
    </xf>
    <xf numFmtId="0" fontId="18" fillId="34" borderId="0" xfId="33" applyFont="1" applyFill="1">
      <alignment/>
      <protection/>
    </xf>
    <xf numFmtId="3" fontId="18" fillId="34" borderId="0" xfId="0" applyNumberFormat="1" applyFont="1" applyFill="1" applyAlignment="1">
      <alignment/>
    </xf>
    <xf numFmtId="0" fontId="34" fillId="34" borderId="21" xfId="40" applyFont="1" applyFill="1" applyBorder="1" applyAlignment="1" applyProtection="1">
      <alignment horizontal="right" vertical="center" wrapText="1"/>
      <protection locked="0"/>
    </xf>
    <xf numFmtId="202" fontId="28" fillId="0" borderId="10" xfId="0" applyNumberFormat="1" applyFont="1" applyBorder="1" applyAlignment="1">
      <alignment horizontal="center"/>
    </xf>
    <xf numFmtId="177" fontId="53" fillId="0" borderId="10" xfId="33" applyNumberFormat="1" applyFont="1" applyFill="1" applyBorder="1">
      <alignment/>
      <protection/>
    </xf>
    <xf numFmtId="0" fontId="34" fillId="34" borderId="10" xfId="40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17" fillId="0" borderId="19" xfId="0" applyNumberFormat="1" applyFont="1" applyBorder="1" applyAlignment="1">
      <alignment horizontal="center" wrapText="1"/>
    </xf>
    <xf numFmtId="177" fontId="17" fillId="0" borderId="19" xfId="38" applyNumberFormat="1" applyFont="1" applyFill="1" applyBorder="1" applyAlignment="1">
      <alignment horizontal="center" vertical="center"/>
      <protection/>
    </xf>
    <xf numFmtId="177" fontId="17" fillId="0" borderId="0" xfId="0" applyNumberFormat="1" applyFont="1" applyBorder="1" applyAlignment="1">
      <alignment horizontal="center" wrapText="1"/>
    </xf>
    <xf numFmtId="193" fontId="17" fillId="34" borderId="19" xfId="0" applyNumberFormat="1" applyFont="1" applyFill="1" applyBorder="1" applyAlignment="1">
      <alignment/>
    </xf>
    <xf numFmtId="193" fontId="17" fillId="34" borderId="0" xfId="0" applyNumberFormat="1" applyFont="1" applyFill="1" applyBorder="1" applyAlignment="1">
      <alignment/>
    </xf>
    <xf numFmtId="177" fontId="16" fillId="34" borderId="19" xfId="38" applyNumberFormat="1" applyFont="1" applyFill="1" applyBorder="1" applyAlignment="1">
      <alignment vertical="center"/>
      <protection/>
    </xf>
    <xf numFmtId="177" fontId="17" fillId="34" borderId="0" xfId="38" applyNumberFormat="1" applyFont="1" applyFill="1" applyBorder="1" applyAlignment="1">
      <alignment vertical="center"/>
      <protection/>
    </xf>
    <xf numFmtId="193" fontId="17" fillId="34" borderId="0" xfId="0" applyNumberFormat="1" applyFont="1" applyFill="1" applyBorder="1" applyAlignment="1">
      <alignment/>
    </xf>
    <xf numFmtId="177" fontId="17" fillId="34" borderId="19" xfId="38" applyNumberFormat="1" applyFont="1" applyFill="1" applyBorder="1" applyAlignment="1">
      <alignment vertical="center"/>
      <protection/>
    </xf>
    <xf numFmtId="0" fontId="18" fillId="0" borderId="0" xfId="33" applyFont="1" applyFill="1">
      <alignment/>
      <protection/>
    </xf>
    <xf numFmtId="0" fontId="18" fillId="0" borderId="10" xfId="33" applyFont="1" applyFill="1" applyBorder="1">
      <alignment/>
      <protection/>
    </xf>
    <xf numFmtId="177" fontId="18" fillId="36" borderId="10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14" fontId="18" fillId="35" borderId="0" xfId="0" applyNumberFormat="1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200" fontId="16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200" fontId="39" fillId="34" borderId="0" xfId="0" applyNumberFormat="1" applyFont="1" applyFill="1" applyBorder="1" applyAlignment="1">
      <alignment horizontal="center"/>
    </xf>
    <xf numFmtId="14" fontId="18" fillId="36" borderId="0" xfId="0" applyNumberFormat="1" applyFont="1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left"/>
    </xf>
    <xf numFmtId="14" fontId="43" fillId="34" borderId="0" xfId="0" applyNumberFormat="1" applyFont="1" applyFill="1" applyAlignment="1">
      <alignment horizontal="center" vertical="center" wrapText="1"/>
    </xf>
    <xf numFmtId="0" fontId="39" fillId="34" borderId="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22" fillId="34" borderId="0" xfId="35" applyNumberFormat="1" applyFont="1" applyFill="1" applyBorder="1" applyAlignment="1">
      <alignment horizontal="center" vertical="center"/>
      <protection/>
    </xf>
    <xf numFmtId="0" fontId="42" fillId="34" borderId="0" xfId="0" applyFont="1" applyFill="1" applyBorder="1" applyAlignment="1">
      <alignment horizontal="right" vertical="center"/>
    </xf>
    <xf numFmtId="0" fontId="24" fillId="34" borderId="0" xfId="35" applyFont="1" applyFill="1" applyBorder="1" applyAlignment="1">
      <alignment horizontal="center" vertical="center"/>
      <protection/>
    </xf>
    <xf numFmtId="0" fontId="16" fillId="0" borderId="19" xfId="35" applyFont="1" applyFill="1" applyBorder="1" applyAlignment="1">
      <alignment horizontal="center"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177" fontId="22" fillId="34" borderId="0" xfId="36" applyNumberFormat="1" applyFont="1" applyFill="1" applyAlignment="1">
      <alignment horizontal="center"/>
      <protection/>
    </xf>
    <xf numFmtId="0" fontId="22" fillId="34" borderId="0" xfId="36" applyFont="1" applyFill="1" applyBorder="1" applyAlignment="1">
      <alignment horizontal="center"/>
      <protection/>
    </xf>
    <xf numFmtId="193" fontId="39" fillId="34" borderId="0" xfId="58" applyNumberFormat="1" applyFont="1" applyFill="1" applyBorder="1" applyAlignment="1" applyProtection="1">
      <alignment horizontal="center" vertical="center"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22" fillId="34" borderId="0" xfId="37" applyNumberFormat="1" applyFont="1" applyFill="1" applyBorder="1" applyAlignment="1" applyProtection="1">
      <alignment horizontal="center" vertical="center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6" fillId="0" borderId="0" xfId="35" applyFont="1" applyFill="1" applyBorder="1" applyAlignment="1">
      <alignment horizontal="center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193" fontId="39" fillId="0" borderId="0" xfId="40" applyNumberFormat="1" applyFont="1" applyFill="1" applyBorder="1" applyAlignment="1" applyProtection="1">
      <alignment horizontal="right"/>
      <protection locked="0"/>
    </xf>
    <xf numFmtId="0" fontId="42" fillId="0" borderId="0" xfId="40" applyNumberFormat="1" applyFont="1" applyFill="1" applyBorder="1" applyAlignment="1" applyProtection="1">
      <alignment horizontal="right" vertical="center"/>
      <protection hidden="1"/>
    </xf>
    <xf numFmtId="0" fontId="39" fillId="0" borderId="0" xfId="40" applyFont="1" applyFill="1" applyBorder="1" applyAlignment="1" applyProtection="1">
      <alignment horizontal="right" vertical="center"/>
      <protection hidden="1"/>
    </xf>
    <xf numFmtId="193" fontId="42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0" applyFont="1" applyFill="1" applyBorder="1" applyAlignment="1" applyProtection="1">
      <alignment horizontal="center" vertical="center" wrapText="1"/>
      <protection/>
    </xf>
    <xf numFmtId="193" fontId="42" fillId="0" borderId="0" xfId="40" applyNumberFormat="1" applyFont="1" applyFill="1" applyBorder="1" applyAlignment="1" applyProtection="1">
      <alignment horizontal="center" wrapText="1"/>
      <protection locked="0"/>
    </xf>
    <xf numFmtId="193" fontId="17" fillId="0" borderId="0" xfId="40" applyNumberFormat="1" applyFont="1" applyFill="1" applyBorder="1" applyAlignment="1" applyProtection="1">
      <alignment horizontal="center"/>
      <protection hidden="1"/>
    </xf>
    <xf numFmtId="0" fontId="42" fillId="0" borderId="0" xfId="0" applyFont="1" applyFill="1" applyAlignment="1">
      <alignment horizontal="right"/>
    </xf>
    <xf numFmtId="0" fontId="16" fillId="0" borderId="0" xfId="40" applyFont="1" applyFill="1" applyBorder="1" applyAlignment="1" applyProtection="1">
      <alignment horizontal="center" vertical="center" wrapText="1"/>
      <protection hidden="1"/>
    </xf>
    <xf numFmtId="0" fontId="28" fillId="33" borderId="10" xfId="40" applyFont="1" applyFill="1" applyBorder="1" applyAlignment="1" applyProtection="1">
      <alignment vertical="center" wrapText="1"/>
      <protection/>
    </xf>
    <xf numFmtId="0" fontId="35" fillId="0" borderId="11" xfId="40" applyFont="1" applyFill="1" applyBorder="1" applyAlignment="1" applyProtection="1">
      <alignment horizontal="left" vertical="center" wrapText="1"/>
      <protection/>
    </xf>
    <xf numFmtId="0" fontId="35" fillId="0" borderId="22" xfId="40" applyFont="1" applyFill="1" applyBorder="1" applyAlignment="1" applyProtection="1">
      <alignment horizontal="left" vertical="center" wrapText="1"/>
      <protection/>
    </xf>
    <xf numFmtId="0" fontId="34" fillId="0" borderId="11" xfId="40" applyFont="1" applyFill="1" applyBorder="1" applyAlignment="1" applyProtection="1">
      <alignment horizontal="left" vertical="center" wrapText="1"/>
      <protection/>
    </xf>
    <xf numFmtId="0" fontId="34" fillId="0" borderId="22" xfId="40" applyFont="1" applyFill="1" applyBorder="1" applyAlignment="1" applyProtection="1">
      <alignment horizontal="left" vertical="center" wrapText="1"/>
      <protection/>
    </xf>
    <xf numFmtId="0" fontId="35" fillId="0" borderId="10" xfId="40" applyFont="1" applyFill="1" applyBorder="1" applyAlignment="1" applyProtection="1">
      <alignment vertical="center" wrapText="1"/>
      <protection/>
    </xf>
    <xf numFmtId="0" fontId="16" fillId="0" borderId="14" xfId="40" applyFont="1" applyFill="1" applyBorder="1" applyAlignment="1" applyProtection="1">
      <alignment horizontal="center"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 locked="0"/>
    </xf>
    <xf numFmtId="0" fontId="34" fillId="0" borderId="10" xfId="40" applyFont="1" applyFill="1" applyBorder="1" applyAlignment="1" applyProtection="1">
      <alignment vertical="center" wrapText="1"/>
      <protection/>
    </xf>
    <xf numFmtId="0" fontId="16" fillId="35" borderId="0" xfId="40" applyFont="1" applyFill="1" applyBorder="1" applyAlignment="1" applyProtection="1">
      <alignment horizontal="center" vertical="center" wrapText="1"/>
      <protection/>
    </xf>
    <xf numFmtId="0" fontId="35" fillId="0" borderId="16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14" fontId="28" fillId="0" borderId="16" xfId="40" applyNumberFormat="1" applyFont="1" applyFill="1" applyBorder="1" applyAlignment="1" applyProtection="1">
      <alignment horizontal="center" vertical="center" wrapText="1"/>
      <protection/>
    </xf>
    <xf numFmtId="14" fontId="28" fillId="0" borderId="21" xfId="40" applyNumberFormat="1" applyFont="1" applyFill="1" applyBorder="1" applyAlignment="1" applyProtection="1">
      <alignment horizontal="center" vertical="center" wrapText="1"/>
      <protection/>
    </xf>
    <xf numFmtId="0" fontId="37" fillId="0" borderId="13" xfId="40" applyFont="1" applyFill="1" applyBorder="1" applyAlignment="1" applyProtection="1">
      <alignment horizontal="center" vertical="center" wrapText="1"/>
      <protection/>
    </xf>
    <xf numFmtId="0" fontId="37" fillId="0" borderId="15" xfId="40" applyFont="1" applyFill="1" applyBorder="1" applyAlignment="1" applyProtection="1">
      <alignment horizontal="center" vertical="center" wrapText="1"/>
      <protection/>
    </xf>
    <xf numFmtId="0" fontId="37" fillId="0" borderId="18" xfId="40" applyFont="1" applyFill="1" applyBorder="1" applyAlignment="1" applyProtection="1">
      <alignment horizontal="center" vertical="center" wrapText="1"/>
      <protection/>
    </xf>
    <xf numFmtId="0" fontId="37" fillId="0" borderId="20" xfId="40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204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16" fillId="35" borderId="19" xfId="40" applyNumberFormat="1" applyFont="1" applyFill="1" applyBorder="1" applyAlignment="1" applyProtection="1">
      <alignment horizontal="center" vertical="center" wrapText="1"/>
      <protection/>
    </xf>
    <xf numFmtId="0" fontId="16" fillId="35" borderId="19" xfId="40" applyFont="1" applyFill="1" applyBorder="1" applyAlignment="1" applyProtection="1">
      <alignment horizontal="center" vertical="center" wrapText="1"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193" fontId="18" fillId="0" borderId="11" xfId="41" applyNumberFormat="1" applyFont="1" applyFill="1" applyBorder="1" applyAlignment="1">
      <alignment horizontal="center"/>
    </xf>
    <xf numFmtId="193" fontId="18" fillId="0" borderId="22" xfId="41" applyNumberFormat="1" applyFont="1" applyFill="1" applyBorder="1" applyAlignment="1">
      <alignment horizontal="center"/>
    </xf>
    <xf numFmtId="9" fontId="18" fillId="0" borderId="11" xfId="41" applyFont="1" applyFill="1" applyBorder="1" applyAlignment="1">
      <alignment horizontal="center"/>
    </xf>
    <xf numFmtId="9" fontId="18" fillId="0" borderId="22" xfId="41" applyFont="1" applyFill="1" applyBorder="1" applyAlignment="1">
      <alignment horizontal="center"/>
    </xf>
    <xf numFmtId="9" fontId="28" fillId="33" borderId="11" xfId="41" applyFont="1" applyFill="1" applyBorder="1" applyAlignment="1">
      <alignment horizontal="center"/>
    </xf>
    <xf numFmtId="9" fontId="28" fillId="33" borderId="22" xfId="41" applyFont="1" applyFill="1" applyBorder="1" applyAlignment="1">
      <alignment horizontal="center"/>
    </xf>
    <xf numFmtId="193" fontId="28" fillId="33" borderId="11" xfId="41" applyNumberFormat="1" applyFont="1" applyFill="1" applyBorder="1" applyAlignment="1">
      <alignment horizontal="center"/>
    </xf>
    <xf numFmtId="193" fontId="28" fillId="33" borderId="22" xfId="41" applyNumberFormat="1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93" fontId="28" fillId="34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204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193" fontId="18" fillId="34" borderId="11" xfId="0" applyNumberFormat="1" applyFont="1" applyFill="1" applyBorder="1" applyAlignment="1">
      <alignment/>
    </xf>
    <xf numFmtId="193" fontId="18" fillId="34" borderId="22" xfId="0" applyNumberFormat="1" applyFont="1" applyFill="1" applyBorder="1" applyAlignment="1">
      <alignment/>
    </xf>
    <xf numFmtId="193" fontId="28" fillId="33" borderId="11" xfId="0" applyNumberFormat="1" applyFont="1" applyFill="1" applyBorder="1" applyAlignment="1">
      <alignment horizontal="center"/>
    </xf>
    <xf numFmtId="193" fontId="28" fillId="33" borderId="22" xfId="0" applyNumberFormat="1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204" fontId="28" fillId="34" borderId="13" xfId="0" applyNumberFormat="1" applyFont="1" applyFill="1" applyBorder="1" applyAlignment="1">
      <alignment horizontal="center" vertical="center"/>
    </xf>
    <xf numFmtId="204" fontId="28" fillId="34" borderId="15" xfId="0" applyNumberFormat="1" applyFont="1" applyFill="1" applyBorder="1" applyAlignment="1">
      <alignment horizontal="center" vertical="center"/>
    </xf>
    <xf numFmtId="204" fontId="28" fillId="34" borderId="18" xfId="0" applyNumberFormat="1" applyFont="1" applyFill="1" applyBorder="1" applyAlignment="1">
      <alignment horizontal="center" vertical="center"/>
    </xf>
    <xf numFmtId="204" fontId="28" fillId="34" borderId="2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193" fontId="18" fillId="34" borderId="10" xfId="0" applyNumberFormat="1" applyFont="1" applyFill="1" applyBorder="1" applyAlignment="1">
      <alignment horizontal="center"/>
    </xf>
    <xf numFmtId="204" fontId="28" fillId="0" borderId="12" xfId="0" applyNumberFormat="1" applyFont="1" applyBorder="1" applyAlignment="1">
      <alignment horizontal="center"/>
    </xf>
    <xf numFmtId="204" fontId="28" fillId="0" borderId="22" xfId="0" applyNumberFormat="1" applyFont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204" fontId="28" fillId="34" borderId="10" xfId="0" applyNumberFormat="1" applyFont="1" applyFill="1" applyBorder="1" applyAlignment="1">
      <alignment horizontal="center"/>
    </xf>
    <xf numFmtId="193" fontId="28" fillId="33" borderId="10" xfId="0" applyNumberFormat="1" applyFont="1" applyFill="1" applyBorder="1" applyAlignment="1">
      <alignment horizontal="center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22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6" fillId="35" borderId="19" xfId="33" applyFont="1" applyFill="1" applyBorder="1" applyAlignment="1">
      <alignment horizontal="center"/>
      <protection/>
    </xf>
    <xf numFmtId="177" fontId="28" fillId="0" borderId="10" xfId="33" applyNumberFormat="1" applyFont="1" applyBorder="1" applyAlignment="1">
      <alignment horizontal="center"/>
      <protection/>
    </xf>
    <xf numFmtId="0" fontId="16" fillId="35" borderId="1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28" fillId="0" borderId="10" xfId="33" applyFont="1" applyBorder="1" applyAlignment="1">
      <alignment horizontal="center"/>
      <protection/>
    </xf>
    <xf numFmtId="14" fontId="28" fillId="34" borderId="10" xfId="33" applyNumberFormat="1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22" xfId="33" applyFont="1" applyBorder="1" applyAlignment="1">
      <alignment horizontal="center"/>
      <protection/>
    </xf>
    <xf numFmtId="177" fontId="18" fillId="0" borderId="10" xfId="33" applyNumberFormat="1" applyFont="1" applyBorder="1" applyAlignment="1">
      <alignment horizontal="center"/>
      <protection/>
    </xf>
    <xf numFmtId="177" fontId="28" fillId="33" borderId="10" xfId="33" applyNumberFormat="1" applyFont="1" applyFill="1" applyBorder="1" applyAlignment="1">
      <alignment horizontal="center"/>
      <protection/>
    </xf>
    <xf numFmtId="0" fontId="18" fillId="0" borderId="10" xfId="33" applyFont="1" applyBorder="1" applyAlignment="1">
      <alignment horizontal="center"/>
      <protection/>
    </xf>
    <xf numFmtId="0" fontId="18" fillId="0" borderId="10" xfId="33" applyFont="1" applyBorder="1" applyAlignment="1">
      <alignment horizontal="left"/>
      <protection/>
    </xf>
    <xf numFmtId="0" fontId="28" fillId="33" borderId="10" xfId="33" applyFont="1" applyFill="1" applyBorder="1" applyAlignment="1">
      <alignment horizontal="center"/>
      <protection/>
    </xf>
    <xf numFmtId="0" fontId="16" fillId="35" borderId="14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left"/>
      <protection/>
    </xf>
    <xf numFmtId="0" fontId="18" fillId="0" borderId="12" xfId="33" applyFont="1" applyBorder="1" applyAlignment="1">
      <alignment horizontal="left"/>
      <protection/>
    </xf>
    <xf numFmtId="0" fontId="18" fillId="0" borderId="22" xfId="33" applyFont="1" applyBorder="1" applyAlignment="1">
      <alignment horizontal="left"/>
      <protection/>
    </xf>
    <xf numFmtId="0" fontId="28" fillId="33" borderId="11" xfId="33" applyFont="1" applyFill="1" applyBorder="1" applyAlignment="1">
      <alignment horizontal="center"/>
      <protection/>
    </xf>
    <xf numFmtId="0" fontId="28" fillId="33" borderId="12" xfId="33" applyFont="1" applyFill="1" applyBorder="1" applyAlignment="1">
      <alignment horizontal="center"/>
      <protection/>
    </xf>
    <xf numFmtId="0" fontId="28" fillId="33" borderId="22" xfId="33" applyFont="1" applyFill="1" applyBorder="1" applyAlignment="1">
      <alignment horizontal="center"/>
      <protection/>
    </xf>
    <xf numFmtId="0" fontId="28" fillId="34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34" fillId="0" borderId="10" xfId="33" applyFont="1" applyBorder="1" applyAlignment="1">
      <alignment/>
      <protection/>
    </xf>
    <xf numFmtId="0" fontId="28" fillId="0" borderId="10" xfId="33" applyFont="1" applyBorder="1" applyAlignment="1">
      <alignment/>
      <protection/>
    </xf>
    <xf numFmtId="0" fontId="28" fillId="0" borderId="10" xfId="33" applyFont="1" applyBorder="1" applyAlignment="1">
      <alignment horizontal="center" vertical="center"/>
      <protection/>
    </xf>
    <xf numFmtId="14" fontId="34" fillId="0" borderId="10" xfId="33" applyNumberFormat="1" applyFont="1" applyBorder="1" applyAlignment="1">
      <alignment horizontal="center" vertical="center"/>
      <protection/>
    </xf>
    <xf numFmtId="0" fontId="34" fillId="0" borderId="10" xfId="33" applyFont="1" applyBorder="1" applyAlignment="1">
      <alignment horizontal="center"/>
      <protection/>
    </xf>
    <xf numFmtId="0" fontId="18" fillId="0" borderId="11" xfId="33" applyFont="1" applyFill="1" applyBorder="1" applyAlignment="1">
      <alignment horizontal="left"/>
      <protection/>
    </xf>
    <xf numFmtId="0" fontId="18" fillId="0" borderId="22" xfId="33" applyFont="1" applyFill="1" applyBorder="1" applyAlignment="1">
      <alignment horizontal="left"/>
      <protection/>
    </xf>
    <xf numFmtId="0" fontId="28" fillId="0" borderId="11" xfId="33" applyFont="1" applyFill="1" applyBorder="1" applyAlignment="1">
      <alignment horizontal="left"/>
      <protection/>
    </xf>
    <xf numFmtId="0" fontId="28" fillId="0" borderId="22" xfId="33" applyFont="1" applyFill="1" applyBorder="1" applyAlignment="1">
      <alignment horizontal="left"/>
      <protection/>
    </xf>
    <xf numFmtId="0" fontId="28" fillId="0" borderId="11" xfId="33" applyFont="1" applyBorder="1" applyAlignment="1">
      <alignment horizontal="left"/>
      <protection/>
    </xf>
    <xf numFmtId="0" fontId="28" fillId="0" borderId="22" xfId="33" applyFont="1" applyBorder="1" applyAlignment="1">
      <alignment horizontal="left"/>
      <protection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18" fillId="0" borderId="10" xfId="33" applyFont="1" applyFill="1" applyBorder="1" applyAlignment="1">
      <alignment horizontal="left"/>
      <protection/>
    </xf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0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18" fillId="0" borderId="10" xfId="0" applyNumberFormat="1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177" fontId="18" fillId="0" borderId="22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05" fontId="28" fillId="0" borderId="11" xfId="0" applyNumberFormat="1" applyFont="1" applyBorder="1" applyAlignment="1">
      <alignment horizontal="center"/>
    </xf>
    <xf numFmtId="205" fontId="28" fillId="0" borderId="12" xfId="0" applyNumberFormat="1" applyFont="1" applyBorder="1" applyAlignment="1">
      <alignment horizontal="center"/>
    </xf>
    <xf numFmtId="177" fontId="28" fillId="33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193" fontId="18" fillId="34" borderId="11" xfId="0" applyNumberFormat="1" applyFont="1" applyFill="1" applyBorder="1" applyAlignment="1">
      <alignment horizontal="center"/>
    </xf>
    <xf numFmtId="193" fontId="18" fillId="34" borderId="22" xfId="0" applyNumberFormat="1" applyFont="1" applyFill="1" applyBorder="1" applyAlignment="1">
      <alignment horizontal="center"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8" fillId="35" borderId="28" xfId="0" applyFont="1" applyFill="1" applyBorder="1" applyAlignment="1" quotePrefix="1">
      <alignment horizontal="center"/>
    </xf>
    <xf numFmtId="0" fontId="18" fillId="35" borderId="28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204" fontId="6" fillId="0" borderId="11" xfId="0" applyNumberFormat="1" applyFont="1" applyBorder="1" applyAlignment="1">
      <alignment horizontal="center"/>
    </xf>
    <xf numFmtId="204" fontId="6" fillId="0" borderId="22" xfId="0" applyNumberFormat="1" applyFont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193" fontId="18" fillId="34" borderId="21" xfId="0" applyNumberFormat="1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8" fillId="35" borderId="0" xfId="33" applyFont="1" applyFill="1" applyAlignment="1">
      <alignment horizontal="left" wrapText="1"/>
      <protection/>
    </xf>
    <xf numFmtId="0" fontId="16" fillId="35" borderId="0" xfId="33" applyFont="1" applyFill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1-1" xfId="34"/>
    <cellStyle name="Normal_BAL" xfId="35"/>
    <cellStyle name="Normal_Financial statements 2000 Alcomet" xfId="36"/>
    <cellStyle name="Normal_Financial statements_bg model 2002" xfId="37"/>
    <cellStyle name="Normal_P&amp;L" xfId="38"/>
    <cellStyle name="Normal_P&amp;L_Financial statements_bg model 2002" xfId="39"/>
    <cellStyle name="Normal_Sheet1" xfId="40"/>
    <cellStyle name="Percent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W1">
      <selection activeCell="AB22" sqref="AB22"/>
    </sheetView>
  </sheetViews>
  <sheetFormatPr defaultColWidth="4.57421875" defaultRowHeight="12.75"/>
  <cols>
    <col min="1" max="9" width="9.140625" style="197" customWidth="1"/>
    <col min="10" max="10" width="5.421875" style="197" customWidth="1"/>
    <col min="11" max="255" width="9.140625" style="197" customWidth="1"/>
    <col min="256" max="16384" width="4.57421875" style="197" customWidth="1"/>
  </cols>
  <sheetData>
    <row r="1" spans="1:38" ht="12.75">
      <c r="A1" s="196"/>
      <c r="B1" s="196"/>
      <c r="C1" s="196"/>
      <c r="D1" s="196"/>
      <c r="E1" s="196"/>
      <c r="F1" s="196"/>
      <c r="G1" s="196"/>
      <c r="H1" s="196"/>
      <c r="I1" s="196"/>
      <c r="L1" s="507" t="s">
        <v>175</v>
      </c>
      <c r="M1" s="507"/>
      <c r="N1" s="507"/>
      <c r="O1" s="507"/>
      <c r="P1" s="507"/>
      <c r="Q1" s="507"/>
      <c r="R1" s="507"/>
      <c r="AA1" s="197">
        <f>DAY(AA2)</f>
        <v>31</v>
      </c>
      <c r="AB1" s="197">
        <f>MONTH(AA2)</f>
        <v>12</v>
      </c>
      <c r="AC1" s="197">
        <f>YEAR(AA2)</f>
        <v>2016</v>
      </c>
      <c r="AD1" s="507">
        <f>IF(AB3=1,AC1,IF(AB3&lt;1,AA1&amp;"."&amp;AB1&amp;"."&amp;AC1,""))</f>
        <v>2016</v>
      </c>
      <c r="AE1" s="507"/>
      <c r="AF1" s="507">
        <f>IF(AB3=1,AD1-1,IF(AB3&lt;1,AA1&amp;"."&amp;AB1&amp;"."&amp;AC1-1,""))</f>
        <v>2015</v>
      </c>
      <c r="AG1" s="507"/>
      <c r="AH1" s="297"/>
      <c r="AI1" s="506" t="s">
        <v>202</v>
      </c>
      <c r="AJ1" s="506"/>
      <c r="AK1" s="197">
        <v>1</v>
      </c>
      <c r="AL1" s="294">
        <f>MONTH(O30)</f>
        <v>7</v>
      </c>
    </row>
    <row r="2" spans="1:37" ht="12.75" customHeight="1">
      <c r="A2" s="196"/>
      <c r="B2" s="196"/>
      <c r="C2" s="196"/>
      <c r="D2" s="196"/>
      <c r="E2" s="196"/>
      <c r="F2" s="196"/>
      <c r="G2" s="196"/>
      <c r="H2" s="196"/>
      <c r="I2" s="196"/>
      <c r="L2" s="294" t="s">
        <v>176</v>
      </c>
      <c r="M2" s="294"/>
      <c r="N2" s="294"/>
      <c r="O2" s="294"/>
      <c r="P2" s="294"/>
      <c r="Q2" s="294"/>
      <c r="R2" s="294"/>
      <c r="AA2" s="518">
        <v>42735</v>
      </c>
      <c r="AB2" s="518"/>
      <c r="AI2" s="506" t="s">
        <v>203</v>
      </c>
      <c r="AJ2" s="506"/>
      <c r="AK2" s="197">
        <v>2</v>
      </c>
    </row>
    <row r="3" spans="1:37" ht="12.75" customHeight="1">
      <c r="A3" s="196"/>
      <c r="B3" s="504" t="str">
        <f>L19</f>
        <v>"ТОПЛОФИКАЦИЯ - ПЛЕВЕН" ЕАД</v>
      </c>
      <c r="C3" s="504"/>
      <c r="D3" s="504"/>
      <c r="E3" s="504"/>
      <c r="F3" s="504"/>
      <c r="G3" s="504"/>
      <c r="H3" s="504"/>
      <c r="I3" s="198"/>
      <c r="L3" s="294" t="s">
        <v>177</v>
      </c>
      <c r="M3" s="294"/>
      <c r="N3" s="294"/>
      <c r="O3" s="294"/>
      <c r="P3" s="294"/>
      <c r="Q3" s="294"/>
      <c r="R3" s="294"/>
      <c r="AA3" s="296" t="str">
        <f>IF(AB3=1,"за ",IF(AB3&lt;1,"към ",""))</f>
        <v>за </v>
      </c>
      <c r="AB3" s="296">
        <f>IF(AND(AB1=12,AA1=31),1,0)</f>
        <v>1</v>
      </c>
      <c r="AI3" s="506" t="s">
        <v>204</v>
      </c>
      <c r="AJ3" s="506"/>
      <c r="AK3" s="197">
        <v>3</v>
      </c>
    </row>
    <row r="4" spans="1:37" ht="12.75" customHeight="1">
      <c r="A4" s="196"/>
      <c r="B4" s="504"/>
      <c r="C4" s="504"/>
      <c r="D4" s="504"/>
      <c r="E4" s="504"/>
      <c r="F4" s="504"/>
      <c r="G4" s="504"/>
      <c r="H4" s="504"/>
      <c r="I4" s="198"/>
      <c r="L4" s="294" t="s">
        <v>193</v>
      </c>
      <c r="M4" s="294"/>
      <c r="N4" s="294"/>
      <c r="O4" s="294"/>
      <c r="P4" s="294"/>
      <c r="Q4" s="294"/>
      <c r="R4" s="294"/>
      <c r="AA4" s="507" t="str">
        <f>IF(O26=AD5,AA5,IF(O26=AD6,AA6,""))</f>
        <v>МЕЖДИНЕН</v>
      </c>
      <c r="AB4" s="507"/>
      <c r="AC4" s="507"/>
      <c r="AI4" s="506" t="s">
        <v>205</v>
      </c>
      <c r="AJ4" s="506"/>
      <c r="AK4" s="197">
        <v>4</v>
      </c>
    </row>
    <row r="5" spans="1:37" ht="12.75" customHeight="1">
      <c r="A5" s="196"/>
      <c r="B5" s="504"/>
      <c r="C5" s="504"/>
      <c r="D5" s="504"/>
      <c r="E5" s="504"/>
      <c r="F5" s="504"/>
      <c r="G5" s="504"/>
      <c r="H5" s="504"/>
      <c r="I5" s="198"/>
      <c r="L5" s="294" t="s">
        <v>192</v>
      </c>
      <c r="M5" s="294"/>
      <c r="N5" s="294"/>
      <c r="O5" s="294"/>
      <c r="P5" s="294"/>
      <c r="Q5" s="294"/>
      <c r="R5" s="294"/>
      <c r="AA5" s="507" t="s">
        <v>379</v>
      </c>
      <c r="AB5" s="507"/>
      <c r="AC5" s="507"/>
      <c r="AD5" s="197" t="s">
        <v>377</v>
      </c>
      <c r="AI5" s="506" t="s">
        <v>206</v>
      </c>
      <c r="AJ5" s="506"/>
      <c r="AK5" s="197">
        <v>5</v>
      </c>
    </row>
    <row r="6" spans="1:37" ht="12.75">
      <c r="A6" s="196"/>
      <c r="B6" s="504"/>
      <c r="C6" s="504"/>
      <c r="D6" s="504"/>
      <c r="E6" s="504"/>
      <c r="F6" s="504"/>
      <c r="G6" s="504"/>
      <c r="H6" s="504"/>
      <c r="I6" s="196"/>
      <c r="L6" s="294" t="s">
        <v>178</v>
      </c>
      <c r="M6" s="294"/>
      <c r="N6" s="294"/>
      <c r="O6" s="294"/>
      <c r="P6" s="294"/>
      <c r="Q6" s="294"/>
      <c r="R6" s="294"/>
      <c r="AA6" s="507" t="s">
        <v>671</v>
      </c>
      <c r="AB6" s="507"/>
      <c r="AC6" s="507"/>
      <c r="AD6" s="197" t="s">
        <v>378</v>
      </c>
      <c r="AI6" s="506" t="s">
        <v>207</v>
      </c>
      <c r="AJ6" s="506"/>
      <c r="AK6" s="197">
        <v>6</v>
      </c>
    </row>
    <row r="7" spans="1:37" ht="12.75">
      <c r="A7" s="196"/>
      <c r="B7" s="504"/>
      <c r="C7" s="504"/>
      <c r="D7" s="504"/>
      <c r="E7" s="504"/>
      <c r="F7" s="504"/>
      <c r="G7" s="504"/>
      <c r="H7" s="504"/>
      <c r="I7" s="196"/>
      <c r="L7" s="294" t="s">
        <v>179</v>
      </c>
      <c r="M7" s="294"/>
      <c r="N7" s="294"/>
      <c r="O7" s="294"/>
      <c r="P7" s="294"/>
      <c r="Q7" s="294"/>
      <c r="R7" s="294"/>
      <c r="AA7" s="507" t="str">
        <f>IF(AB3=1,"За годината",IF(AB3&lt;1,"За периода",""))</f>
        <v>За годината</v>
      </c>
      <c r="AB7" s="507"/>
      <c r="AC7" s="507"/>
      <c r="AI7" s="506" t="s">
        <v>208</v>
      </c>
      <c r="AJ7" s="506"/>
      <c r="AK7" s="197">
        <v>7</v>
      </c>
    </row>
    <row r="8" spans="1:37" ht="12.75">
      <c r="A8" s="196"/>
      <c r="B8" s="504"/>
      <c r="C8" s="504"/>
      <c r="D8" s="504"/>
      <c r="E8" s="504"/>
      <c r="F8" s="504"/>
      <c r="G8" s="504"/>
      <c r="H8" s="504"/>
      <c r="I8" s="196"/>
      <c r="L8" s="294" t="s">
        <v>180</v>
      </c>
      <c r="M8" s="294"/>
      <c r="N8" s="294"/>
      <c r="O8" s="294"/>
      <c r="P8" s="294"/>
      <c r="Q8" s="294"/>
      <c r="R8" s="294"/>
      <c r="AI8" s="506" t="s">
        <v>209</v>
      </c>
      <c r="AJ8" s="506"/>
      <c r="AK8" s="197">
        <v>8</v>
      </c>
    </row>
    <row r="9" spans="1:37" ht="12.75">
      <c r="A9" s="196"/>
      <c r="B9" s="196"/>
      <c r="C9" s="196"/>
      <c r="D9" s="196"/>
      <c r="E9" s="196"/>
      <c r="F9" s="196"/>
      <c r="G9" s="196"/>
      <c r="H9" s="196"/>
      <c r="I9" s="196"/>
      <c r="L9" s="294" t="s">
        <v>181</v>
      </c>
      <c r="M9" s="294"/>
      <c r="N9" s="294"/>
      <c r="O9" s="294"/>
      <c r="P9" s="294"/>
      <c r="Q9" s="294"/>
      <c r="R9" s="294"/>
      <c r="AI9" s="506" t="s">
        <v>210</v>
      </c>
      <c r="AJ9" s="506"/>
      <c r="AK9" s="197">
        <v>9</v>
      </c>
    </row>
    <row r="10" spans="1:37" ht="12.75">
      <c r="A10" s="196"/>
      <c r="B10" s="196"/>
      <c r="C10" s="196"/>
      <c r="D10" s="196"/>
      <c r="E10" s="196"/>
      <c r="F10" s="196"/>
      <c r="G10" s="196"/>
      <c r="H10" s="196"/>
      <c r="I10" s="196"/>
      <c r="L10" s="294" t="s">
        <v>184</v>
      </c>
      <c r="M10" s="294"/>
      <c r="N10" s="294"/>
      <c r="O10" s="294"/>
      <c r="P10" s="294"/>
      <c r="Q10" s="294"/>
      <c r="R10" s="294"/>
      <c r="AI10" s="506" t="s">
        <v>211</v>
      </c>
      <c r="AJ10" s="506"/>
      <c r="AK10" s="197">
        <v>10</v>
      </c>
    </row>
    <row r="11" spans="1:37" ht="12.75">
      <c r="A11" s="196"/>
      <c r="B11" s="196"/>
      <c r="C11" s="196"/>
      <c r="D11" s="196"/>
      <c r="E11" s="196"/>
      <c r="F11" s="196"/>
      <c r="G11" s="196"/>
      <c r="H11" s="196"/>
      <c r="I11" s="196"/>
      <c r="L11" s="294" t="s">
        <v>182</v>
      </c>
      <c r="M11" s="294"/>
      <c r="N11" s="294"/>
      <c r="O11" s="294"/>
      <c r="P11" s="294"/>
      <c r="Q11" s="294"/>
      <c r="R11" s="294"/>
      <c r="AI11" s="506" t="s">
        <v>212</v>
      </c>
      <c r="AJ11" s="506"/>
      <c r="AK11" s="197">
        <v>11</v>
      </c>
    </row>
    <row r="12" spans="1:37" ht="12.75">
      <c r="A12" s="196"/>
      <c r="B12" s="196"/>
      <c r="C12" s="196"/>
      <c r="D12" s="196"/>
      <c r="E12" s="196"/>
      <c r="F12" s="196"/>
      <c r="G12" s="196"/>
      <c r="H12" s="196"/>
      <c r="I12" s="196"/>
      <c r="L12" s="294" t="s">
        <v>183</v>
      </c>
      <c r="M12" s="294"/>
      <c r="N12" s="294"/>
      <c r="O12" s="294"/>
      <c r="P12" s="294"/>
      <c r="Q12" s="294"/>
      <c r="R12" s="294"/>
      <c r="AI12" s="506" t="s">
        <v>213</v>
      </c>
      <c r="AJ12" s="506"/>
      <c r="AK12" s="197">
        <v>12</v>
      </c>
    </row>
    <row r="13" spans="1:36" ht="12.75">
      <c r="A13" s="196"/>
      <c r="B13" s="196"/>
      <c r="C13" s="196"/>
      <c r="D13" s="196"/>
      <c r="E13" s="196"/>
      <c r="F13" s="196"/>
      <c r="G13" s="196"/>
      <c r="H13" s="196"/>
      <c r="I13" s="196"/>
      <c r="L13" s="294" t="s">
        <v>185</v>
      </c>
      <c r="M13" s="294"/>
      <c r="N13" s="294"/>
      <c r="O13" s="294"/>
      <c r="P13" s="294"/>
      <c r="Q13" s="294"/>
      <c r="R13" s="294"/>
      <c r="AI13" s="506"/>
      <c r="AJ13" s="506"/>
    </row>
    <row r="14" spans="1:36" ht="12.75">
      <c r="A14" s="196"/>
      <c r="B14" s="196"/>
      <c r="C14" s="196"/>
      <c r="D14" s="196"/>
      <c r="E14" s="196"/>
      <c r="F14" s="196"/>
      <c r="G14" s="196"/>
      <c r="H14" s="196"/>
      <c r="I14" s="196"/>
      <c r="L14" s="294" t="s">
        <v>186</v>
      </c>
      <c r="M14" s="294"/>
      <c r="N14" s="294"/>
      <c r="O14" s="294"/>
      <c r="P14" s="294"/>
      <c r="Q14" s="294"/>
      <c r="R14" s="294"/>
      <c r="AI14" s="506"/>
      <c r="AJ14" s="506"/>
    </row>
    <row r="15" spans="1:36" ht="12.75">
      <c r="A15" s="196"/>
      <c r="B15" s="196"/>
      <c r="C15" s="196"/>
      <c r="D15" s="196"/>
      <c r="E15" s="196"/>
      <c r="F15" s="196"/>
      <c r="G15" s="196"/>
      <c r="H15" s="196"/>
      <c r="I15" s="196"/>
      <c r="L15" s="294" t="s">
        <v>187</v>
      </c>
      <c r="M15" s="294"/>
      <c r="N15" s="294"/>
      <c r="O15" s="294"/>
      <c r="P15" s="294"/>
      <c r="Q15" s="294"/>
      <c r="R15" s="294"/>
      <c r="AI15" s="506"/>
      <c r="AJ15" s="506"/>
    </row>
    <row r="16" spans="1:36" ht="12.75">
      <c r="A16" s="196"/>
      <c r="B16" s="196"/>
      <c r="C16" s="196"/>
      <c r="D16" s="196"/>
      <c r="E16" s="196"/>
      <c r="F16" s="196"/>
      <c r="G16" s="196"/>
      <c r="H16" s="196"/>
      <c r="I16" s="196"/>
      <c r="AI16" s="506"/>
      <c r="AJ16" s="506"/>
    </row>
    <row r="17" spans="1:36" ht="12.75">
      <c r="A17" s="196"/>
      <c r="B17" s="196"/>
      <c r="C17" s="196"/>
      <c r="D17" s="196"/>
      <c r="E17" s="196"/>
      <c r="F17" s="196"/>
      <c r="G17" s="196"/>
      <c r="H17" s="470"/>
      <c r="I17" s="196"/>
      <c r="R17" s="293"/>
      <c r="S17" s="293"/>
      <c r="AI17" s="506"/>
      <c r="AJ17" s="506"/>
    </row>
    <row r="18" spans="1:17" ht="12.75">
      <c r="A18" s="196"/>
      <c r="B18" s="196"/>
      <c r="C18" s="196"/>
      <c r="D18" s="196"/>
      <c r="E18" s="196"/>
      <c r="F18" s="196"/>
      <c r="G18" s="196"/>
      <c r="H18" s="196"/>
      <c r="I18" s="196"/>
      <c r="L18" s="197" t="s">
        <v>188</v>
      </c>
      <c r="O18" s="293"/>
      <c r="P18" s="293"/>
      <c r="Q18" s="293"/>
    </row>
    <row r="19" spans="1:17" ht="12.75">
      <c r="A19" s="196"/>
      <c r="B19" s="196"/>
      <c r="C19" s="196"/>
      <c r="D19" s="196"/>
      <c r="E19" s="196"/>
      <c r="F19" s="196"/>
      <c r="G19" s="196"/>
      <c r="H19" s="196"/>
      <c r="I19" s="196"/>
      <c r="L19" s="507" t="s">
        <v>615</v>
      </c>
      <c r="M19" s="507"/>
      <c r="N19" s="507"/>
      <c r="O19" s="507"/>
      <c r="P19" s="507"/>
      <c r="Q19" s="507"/>
    </row>
    <row r="20" spans="1:9" ht="12.75" customHeight="1">
      <c r="A20" s="196"/>
      <c r="B20" s="196"/>
      <c r="C20" s="196"/>
      <c r="D20" s="196"/>
      <c r="E20" s="196"/>
      <c r="F20" s="196"/>
      <c r="G20" s="196"/>
      <c r="H20" s="196"/>
      <c r="I20" s="196"/>
    </row>
    <row r="21" spans="1:17" ht="12.75" customHeight="1">
      <c r="A21" s="196"/>
      <c r="B21" s="196"/>
      <c r="C21" s="196"/>
      <c r="D21" s="196"/>
      <c r="E21" s="196"/>
      <c r="F21" s="196"/>
      <c r="G21" s="196"/>
      <c r="H21" s="196"/>
      <c r="I21" s="196"/>
      <c r="L21" s="197" t="s">
        <v>214</v>
      </c>
      <c r="O21" s="507" t="s">
        <v>616</v>
      </c>
      <c r="P21" s="507"/>
      <c r="Q21" s="507"/>
    </row>
    <row r="22" spans="1:9" ht="12.75" customHeight="1">
      <c r="A22" s="196"/>
      <c r="B22" s="196"/>
      <c r="C22" s="196"/>
      <c r="D22" s="196"/>
      <c r="E22" s="196"/>
      <c r="F22" s="196"/>
      <c r="G22" s="196"/>
      <c r="H22" s="196"/>
      <c r="I22" s="196"/>
    </row>
    <row r="23" spans="1:12" ht="12.75" customHeight="1">
      <c r="A23" s="514" t="str">
        <f>CONCATENATE(AA4," ФИНАНСОВ ОТЧЕТ")</f>
        <v>МЕЖДИНЕН ФИНАНСОВ ОТЧЕТ</v>
      </c>
      <c r="B23" s="514"/>
      <c r="C23" s="514"/>
      <c r="D23" s="514"/>
      <c r="E23" s="514"/>
      <c r="F23" s="514"/>
      <c r="G23" s="514"/>
      <c r="H23" s="514"/>
      <c r="I23" s="514"/>
      <c r="J23" s="199"/>
      <c r="L23" s="197" t="s">
        <v>535</v>
      </c>
    </row>
    <row r="24" spans="1:12" ht="15.75" customHeight="1">
      <c r="A24" s="514"/>
      <c r="B24" s="514"/>
      <c r="C24" s="514"/>
      <c r="D24" s="514"/>
      <c r="E24" s="514"/>
      <c r="F24" s="514"/>
      <c r="G24" s="514"/>
      <c r="H24" s="514"/>
      <c r="I24" s="514"/>
      <c r="J24" s="199"/>
      <c r="L24" s="197" t="s">
        <v>534</v>
      </c>
    </row>
    <row r="25" spans="1:12" ht="12.75" customHeight="1">
      <c r="A25" s="200"/>
      <c r="B25" s="200"/>
      <c r="C25" s="505" t="s">
        <v>713</v>
      </c>
      <c r="D25" s="505"/>
      <c r="E25" s="505"/>
      <c r="F25" s="505"/>
      <c r="G25" s="505"/>
      <c r="H25" s="200"/>
      <c r="I25" s="200"/>
      <c r="J25" s="199"/>
      <c r="L25" s="197" t="s">
        <v>533</v>
      </c>
    </row>
    <row r="26" spans="1:15" ht="12.75" customHeight="1">
      <c r="A26" s="200"/>
      <c r="B26" s="200"/>
      <c r="C26" s="505"/>
      <c r="D26" s="505"/>
      <c r="E26" s="505"/>
      <c r="F26" s="505"/>
      <c r="G26" s="505"/>
      <c r="H26" s="200"/>
      <c r="I26" s="200"/>
      <c r="J26" s="199"/>
      <c r="L26" s="197" t="s">
        <v>189</v>
      </c>
      <c r="O26" s="294" t="s">
        <v>378</v>
      </c>
    </row>
    <row r="27" spans="1:9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16" ht="12.75">
      <c r="A28" s="196"/>
      <c r="B28" s="196"/>
      <c r="C28" s="196"/>
      <c r="D28" s="196"/>
      <c r="E28" s="196"/>
      <c r="F28" s="196"/>
      <c r="G28" s="196"/>
      <c r="H28" s="196"/>
      <c r="I28" s="196"/>
      <c r="L28" s="197" t="s">
        <v>190</v>
      </c>
      <c r="O28" s="513">
        <v>42277</v>
      </c>
      <c r="P28" s="507"/>
    </row>
    <row r="29" spans="1:9" ht="21">
      <c r="A29" s="196"/>
      <c r="B29" s="516"/>
      <c r="C29" s="516"/>
      <c r="D29" s="516"/>
      <c r="E29" s="516"/>
      <c r="F29" s="516"/>
      <c r="G29" s="516"/>
      <c r="H29" s="516"/>
      <c r="I29" s="201"/>
    </row>
    <row r="30" spans="1:16" ht="21">
      <c r="A30" s="196"/>
      <c r="B30" s="516"/>
      <c r="C30" s="516"/>
      <c r="D30" s="516"/>
      <c r="E30" s="516"/>
      <c r="F30" s="516"/>
      <c r="G30" s="516"/>
      <c r="H30" s="516"/>
      <c r="I30" s="201"/>
      <c r="L30" s="197" t="s">
        <v>191</v>
      </c>
      <c r="O30" s="513">
        <v>42215</v>
      </c>
      <c r="P30" s="513"/>
    </row>
    <row r="31" spans="1:9" ht="12.75">
      <c r="A31" s="196"/>
      <c r="B31" s="196"/>
      <c r="C31" s="196"/>
      <c r="D31" s="196"/>
      <c r="E31" s="196"/>
      <c r="F31" s="196"/>
      <c r="G31" s="196"/>
      <c r="H31" s="196"/>
      <c r="I31" s="196"/>
    </row>
    <row r="32" spans="1:9" ht="12.75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9" ht="12.75">
      <c r="A33" s="196"/>
      <c r="B33" s="196"/>
      <c r="C33" s="196"/>
      <c r="D33" s="196"/>
      <c r="E33" s="196"/>
      <c r="F33" s="196"/>
      <c r="G33" s="196"/>
      <c r="H33" s="196"/>
      <c r="I33" s="196"/>
    </row>
    <row r="34" spans="1:18" ht="12.75">
      <c r="A34" s="196"/>
      <c r="B34" s="196"/>
      <c r="C34" s="196"/>
      <c r="D34" s="196"/>
      <c r="E34" s="196"/>
      <c r="F34" s="196"/>
      <c r="G34" s="196"/>
      <c r="H34" s="196"/>
      <c r="I34" s="196"/>
      <c r="L34" s="197" t="s">
        <v>195</v>
      </c>
      <c r="O34" s="517" t="s">
        <v>715</v>
      </c>
      <c r="P34" s="517"/>
      <c r="Q34" s="517"/>
      <c r="R34" s="517"/>
    </row>
    <row r="35" spans="1:9" ht="12.75">
      <c r="A35" s="196"/>
      <c r="B35" s="196"/>
      <c r="C35" s="196"/>
      <c r="D35" s="196"/>
      <c r="E35" s="196"/>
      <c r="F35" s="196"/>
      <c r="G35" s="196"/>
      <c r="H35" s="196"/>
      <c r="I35" s="196"/>
    </row>
    <row r="36" spans="1:17" ht="12.75">
      <c r="A36" s="196"/>
      <c r="B36" s="196"/>
      <c r="C36" s="196"/>
      <c r="D36" s="196"/>
      <c r="E36" s="196"/>
      <c r="F36" s="196"/>
      <c r="G36" s="196"/>
      <c r="H36" s="196"/>
      <c r="I36" s="196"/>
      <c r="L36" s="197" t="s">
        <v>194</v>
      </c>
      <c r="O36" s="507" t="s">
        <v>672</v>
      </c>
      <c r="P36" s="507"/>
      <c r="Q36" s="507"/>
    </row>
    <row r="37" spans="1:9" ht="12.75">
      <c r="A37" s="196"/>
      <c r="B37" s="196"/>
      <c r="C37" s="196"/>
      <c r="D37" s="196"/>
      <c r="E37" s="196"/>
      <c r="F37" s="196"/>
      <c r="G37" s="196"/>
      <c r="H37" s="196"/>
      <c r="I37" s="196"/>
    </row>
    <row r="38" spans="1:17" ht="12.75">
      <c r="A38" s="196"/>
      <c r="B38" s="196"/>
      <c r="C38" s="196"/>
      <c r="D38" s="196"/>
      <c r="E38" s="196"/>
      <c r="F38" s="196"/>
      <c r="G38" s="196"/>
      <c r="H38" s="196"/>
      <c r="I38" s="196"/>
      <c r="L38" s="197" t="s">
        <v>196</v>
      </c>
      <c r="O38" s="507"/>
      <c r="P38" s="507"/>
      <c r="Q38" s="507"/>
    </row>
    <row r="39" spans="1:9" ht="12.75">
      <c r="A39" s="196"/>
      <c r="B39" s="196"/>
      <c r="C39" s="196"/>
      <c r="D39" s="196"/>
      <c r="E39" s="196"/>
      <c r="F39" s="196"/>
      <c r="G39" s="196"/>
      <c r="H39" s="196"/>
      <c r="I39" s="196"/>
    </row>
    <row r="40" spans="1:12" ht="12.75">
      <c r="A40" s="196"/>
      <c r="B40" s="196"/>
      <c r="C40" s="196"/>
      <c r="D40" s="196"/>
      <c r="E40" s="196"/>
      <c r="F40" s="196"/>
      <c r="G40" s="196"/>
      <c r="H40" s="196"/>
      <c r="I40" s="196"/>
      <c r="L40" s="197" t="s">
        <v>197</v>
      </c>
    </row>
    <row r="41" spans="1:12" ht="12.75">
      <c r="A41" s="196"/>
      <c r="B41" s="196"/>
      <c r="C41" s="196"/>
      <c r="D41" s="196"/>
      <c r="E41" s="196"/>
      <c r="F41" s="196"/>
      <c r="G41" s="196"/>
      <c r="H41" s="196"/>
      <c r="I41" s="196"/>
      <c r="L41" s="197" t="s">
        <v>198</v>
      </c>
    </row>
    <row r="42" spans="1:12" ht="12.75">
      <c r="A42" s="196"/>
      <c r="B42" s="196"/>
      <c r="C42" s="196"/>
      <c r="D42" s="196"/>
      <c r="E42" s="196"/>
      <c r="F42" s="196"/>
      <c r="G42" s="196"/>
      <c r="H42" s="196"/>
      <c r="I42" s="196"/>
      <c r="L42" s="197" t="s">
        <v>199</v>
      </c>
    </row>
    <row r="43" spans="1:17" ht="12.75">
      <c r="A43" s="196"/>
      <c r="B43" s="196"/>
      <c r="C43" s="196"/>
      <c r="D43" s="196"/>
      <c r="E43" s="196"/>
      <c r="F43" s="196"/>
      <c r="G43" s="196"/>
      <c r="H43" s="196"/>
      <c r="I43" s="196"/>
      <c r="L43" s="197" t="s">
        <v>200</v>
      </c>
      <c r="O43" s="294">
        <v>1</v>
      </c>
      <c r="P43" s="295" t="s">
        <v>201</v>
      </c>
      <c r="Q43" s="294">
        <v>23</v>
      </c>
    </row>
    <row r="44" spans="1:18" ht="15">
      <c r="A44" s="508" t="s">
        <v>166</v>
      </c>
      <c r="B44" s="508"/>
      <c r="C44" s="508"/>
      <c r="D44" s="508"/>
      <c r="E44" s="196"/>
      <c r="F44" s="508" t="s">
        <v>15</v>
      </c>
      <c r="G44" s="508"/>
      <c r="H44" s="508"/>
      <c r="I44" s="508"/>
      <c r="P44" s="515"/>
      <c r="Q44" s="515"/>
      <c r="R44" s="515"/>
    </row>
    <row r="45" spans="1:9" ht="12.75">
      <c r="A45" s="196"/>
      <c r="B45" s="196"/>
      <c r="C45" s="196"/>
      <c r="D45" s="196"/>
      <c r="E45" s="196"/>
      <c r="F45" s="62"/>
      <c r="G45" s="62"/>
      <c r="H45" s="62"/>
      <c r="I45" s="62"/>
    </row>
    <row r="46" spans="1:9" ht="15">
      <c r="A46" s="480" t="str">
        <f>O34</f>
        <v>инж. ЙОРДАН ВАСИЛЕВ ВАСИЛЕВ</v>
      </c>
      <c r="B46" s="480"/>
      <c r="C46" s="480"/>
      <c r="D46" s="480"/>
      <c r="E46" s="196"/>
      <c r="F46" s="511" t="str">
        <f>O36</f>
        <v>БЕРТА СИМЕОНОВА ЦАНКОВА</v>
      </c>
      <c r="G46" s="511"/>
      <c r="H46" s="511"/>
      <c r="I46" s="511"/>
    </row>
    <row r="47" spans="1:9" ht="15">
      <c r="A47" s="57"/>
      <c r="B47" s="57"/>
      <c r="C47" s="57"/>
      <c r="D47" s="57"/>
      <c r="E47" s="196"/>
      <c r="F47" s="57"/>
      <c r="G47" s="57"/>
      <c r="H47" s="57"/>
      <c r="I47" s="57"/>
    </row>
    <row r="48" spans="1:9" ht="15">
      <c r="A48" s="508"/>
      <c r="B48" s="508"/>
      <c r="C48" s="508"/>
      <c r="D48" s="508"/>
      <c r="E48" s="196"/>
      <c r="F48" s="508"/>
      <c r="G48" s="508"/>
      <c r="H48" s="508"/>
      <c r="I48" s="508"/>
    </row>
    <row r="49" spans="1:9" ht="15">
      <c r="A49" s="202"/>
      <c r="B49" s="202"/>
      <c r="C49" s="202"/>
      <c r="D49" s="508"/>
      <c r="E49" s="508"/>
      <c r="F49" s="508"/>
      <c r="G49" s="202"/>
      <c r="H49" s="202"/>
      <c r="I49" s="202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5">
      <c r="A51" s="57"/>
      <c r="B51" s="57"/>
      <c r="C51" s="57"/>
      <c r="D51" s="469"/>
      <c r="E51" s="469"/>
      <c r="F51" s="469"/>
      <c r="G51" s="57"/>
      <c r="H51" s="57"/>
      <c r="I51" s="57"/>
    </row>
    <row r="52" spans="1:9" ht="15">
      <c r="A52" s="203"/>
      <c r="B52" s="203"/>
      <c r="C52" s="203"/>
      <c r="D52" s="204"/>
      <c r="E52" s="204"/>
      <c r="F52" s="204"/>
      <c r="G52" s="203"/>
      <c r="H52" s="203"/>
      <c r="I52" s="203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5">
      <c r="A55" s="62"/>
      <c r="B55" s="62"/>
      <c r="C55" s="512"/>
      <c r="D55" s="512"/>
      <c r="E55" s="512"/>
      <c r="F55" s="512"/>
      <c r="G55" s="512"/>
      <c r="H55" s="62"/>
      <c r="I55" s="62"/>
    </row>
    <row r="56" spans="1:9" ht="12.75" customHeight="1">
      <c r="A56" s="62"/>
      <c r="B56" s="62"/>
      <c r="C56" s="510"/>
      <c r="D56" s="510"/>
      <c r="E56" s="510"/>
      <c r="F56" s="510"/>
      <c r="G56" s="510"/>
      <c r="H56" s="62"/>
      <c r="I56" s="62"/>
    </row>
    <row r="57" spans="1:16" ht="15">
      <c r="A57" s="196"/>
      <c r="B57" s="196"/>
      <c r="C57" s="509" t="s">
        <v>714</v>
      </c>
      <c r="D57" s="509"/>
      <c r="E57" s="509"/>
      <c r="F57" s="509"/>
      <c r="G57" s="509"/>
      <c r="H57" s="196"/>
      <c r="I57" s="196"/>
      <c r="K57" s="293"/>
      <c r="L57" s="293"/>
      <c r="M57" s="293"/>
      <c r="N57" s="293"/>
      <c r="O57" s="293"/>
      <c r="P57" s="293"/>
    </row>
  </sheetData>
  <sheetProtection/>
  <mergeCells count="46">
    <mergeCell ref="AI10:AJ10"/>
    <mergeCell ref="AI17:AJ17"/>
    <mergeCell ref="AD1:AE1"/>
    <mergeCell ref="AF1:AG1"/>
    <mergeCell ref="AI1:AJ1"/>
    <mergeCell ref="AI2:AJ2"/>
    <mergeCell ref="AI13:AJ13"/>
    <mergeCell ref="AI14:AJ14"/>
    <mergeCell ref="AI15:AJ15"/>
    <mergeCell ref="AI16:AJ16"/>
    <mergeCell ref="L1:R1"/>
    <mergeCell ref="AI7:AJ7"/>
    <mergeCell ref="AA2:AB2"/>
    <mergeCell ref="O28:P28"/>
    <mergeCell ref="AA4:AC4"/>
    <mergeCell ref="AA5:AC5"/>
    <mergeCell ref="AA6:AC6"/>
    <mergeCell ref="AA7:AC7"/>
    <mergeCell ref="AI5:AJ5"/>
    <mergeCell ref="AI6:AJ6"/>
    <mergeCell ref="O30:P30"/>
    <mergeCell ref="A48:D48"/>
    <mergeCell ref="F48:I48"/>
    <mergeCell ref="A23:I24"/>
    <mergeCell ref="A44:D44"/>
    <mergeCell ref="F44:I44"/>
    <mergeCell ref="P44:R44"/>
    <mergeCell ref="B29:H30"/>
    <mergeCell ref="O34:R34"/>
    <mergeCell ref="D49:F49"/>
    <mergeCell ref="C57:G57"/>
    <mergeCell ref="O36:Q36"/>
    <mergeCell ref="C56:G56"/>
    <mergeCell ref="F46:I46"/>
    <mergeCell ref="C55:G55"/>
    <mergeCell ref="O38:Q38"/>
    <mergeCell ref="B3:H8"/>
    <mergeCell ref="C25:G26"/>
    <mergeCell ref="AI8:AJ8"/>
    <mergeCell ref="AI9:AJ9"/>
    <mergeCell ref="AI3:AJ3"/>
    <mergeCell ref="AI4:AJ4"/>
    <mergeCell ref="L19:Q19"/>
    <mergeCell ref="O21:Q21"/>
    <mergeCell ref="AI11:AJ11"/>
    <mergeCell ref="AI12:AJ1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317" customWidth="1"/>
    <col min="2" max="3" width="20.140625" style="317" customWidth="1"/>
    <col min="4" max="5" width="12.140625" style="317" customWidth="1"/>
    <col min="6" max="16384" width="9.140625" style="317" customWidth="1"/>
  </cols>
  <sheetData>
    <row r="1" spans="2:5" ht="15">
      <c r="B1" s="636" t="s">
        <v>596</v>
      </c>
      <c r="C1" s="636"/>
      <c r="D1" s="636"/>
      <c r="E1" s="636"/>
    </row>
    <row r="2" spans="2:5" ht="15">
      <c r="B2" s="672" t="s">
        <v>227</v>
      </c>
      <c r="C2" s="673"/>
      <c r="D2" s="104" t="s">
        <v>740</v>
      </c>
      <c r="E2" s="104">
        <v>42369</v>
      </c>
    </row>
    <row r="3" spans="2:11" ht="12.75">
      <c r="B3" s="666" t="s">
        <v>254</v>
      </c>
      <c r="C3" s="667"/>
      <c r="D3" s="365"/>
      <c r="E3" s="365"/>
      <c r="G3" s="582" t="e">
        <f>IF(AND(J4="",J6=""),"","Разлика между БАЛАНСА и ПРИЛОЖЕНИЕТО!")</f>
        <v>#REF!</v>
      </c>
      <c r="H3" s="582"/>
      <c r="I3" s="582"/>
      <c r="J3" s="582"/>
      <c r="K3" s="582"/>
    </row>
    <row r="4" spans="2:11" ht="12.75">
      <c r="B4" s="666" t="s">
        <v>255</v>
      </c>
      <c r="C4" s="667"/>
      <c r="D4" s="365"/>
      <c r="E4" s="365">
        <v>11</v>
      </c>
      <c r="G4" s="583" t="e">
        <f>IF(J4="","","Разлика текущ период:")</f>
        <v>#REF!</v>
      </c>
      <c r="H4" s="583"/>
      <c r="I4" s="583"/>
      <c r="J4" s="427" t="e">
        <f>IF(D7=баланс!#REF!,"",D7-баланс!#REF!)</f>
        <v>#REF!</v>
      </c>
      <c r="K4" s="426"/>
    </row>
    <row r="5" spans="2:11" ht="12.75">
      <c r="B5" s="674" t="s">
        <v>99</v>
      </c>
      <c r="C5" s="674"/>
      <c r="D5" s="365">
        <v>0</v>
      </c>
      <c r="E5" s="365"/>
      <c r="G5" s="584" t="e">
        <f>IF(J4="","","Сума по баланс:")</f>
        <v>#REF!</v>
      </c>
      <c r="H5" s="584"/>
      <c r="I5" s="584"/>
      <c r="J5" s="428" t="e">
        <f>IF(J4="","",баланс!#REF!)</f>
        <v>#REF!</v>
      </c>
      <c r="K5" s="426"/>
    </row>
    <row r="6" spans="2:11" ht="12.75">
      <c r="B6" s="666" t="s">
        <v>597</v>
      </c>
      <c r="C6" s="667"/>
      <c r="D6" s="365"/>
      <c r="E6" s="365"/>
      <c r="G6" s="583"/>
      <c r="H6" s="583"/>
      <c r="I6" s="583"/>
      <c r="J6" s="427" t="e">
        <f>IF(E7=баланс!#REF!,"",E7-баланс!#REF!)</f>
        <v>#REF!</v>
      </c>
      <c r="K6" s="426"/>
    </row>
    <row r="7" spans="2:11" ht="12.75">
      <c r="B7" s="654" t="s">
        <v>85</v>
      </c>
      <c r="C7" s="656"/>
      <c r="D7" s="331">
        <f>SUM(D3:D6)</f>
        <v>0</v>
      </c>
      <c r="E7" s="364">
        <f>SUM(E3:E6)</f>
        <v>11</v>
      </c>
      <c r="G7" s="584" t="e">
        <f>IF(J6="","","Сума по баланс:")</f>
        <v>#REF!</v>
      </c>
      <c r="H7" s="584"/>
      <c r="I7" s="584"/>
      <c r="J7" s="428" t="e">
        <f>IF(J6="","",баланс!#REF!)</f>
        <v>#REF!</v>
      </c>
      <c r="K7" s="426"/>
    </row>
    <row r="8" spans="2:5" ht="15">
      <c r="B8" s="636" t="s">
        <v>32</v>
      </c>
      <c r="C8" s="636"/>
      <c r="D8" s="636"/>
      <c r="E8" s="636"/>
    </row>
    <row r="9" spans="2:5" ht="15">
      <c r="B9" s="672" t="s">
        <v>227</v>
      </c>
      <c r="C9" s="673"/>
      <c r="D9" s="361" t="str">
        <f>D2</f>
        <v>31.12.2016г.</v>
      </c>
      <c r="E9" s="104">
        <f>E2</f>
        <v>42369</v>
      </c>
    </row>
    <row r="10" spans="2:5" ht="12.75">
      <c r="B10" s="666" t="s">
        <v>254</v>
      </c>
      <c r="C10" s="667"/>
      <c r="D10" s="365"/>
      <c r="E10" s="365"/>
    </row>
    <row r="11" spans="2:11" ht="12.75">
      <c r="B11" s="666" t="s">
        <v>255</v>
      </c>
      <c r="C11" s="667"/>
      <c r="D11" s="365">
        <v>552</v>
      </c>
      <c r="E11" s="365">
        <v>166</v>
      </c>
      <c r="G11" s="582">
        <f>IF(AND(J12="",J14=""),"","Разлика между БАЛАНСА и ПРИЛОЖЕНИЕТО!")</f>
      </c>
      <c r="H11" s="582"/>
      <c r="I11" s="582"/>
      <c r="J11" s="582"/>
      <c r="K11" s="582"/>
    </row>
    <row r="12" spans="2:11" ht="12.75">
      <c r="B12" s="666" t="s">
        <v>344</v>
      </c>
      <c r="C12" s="667"/>
      <c r="D12" s="365">
        <v>58</v>
      </c>
      <c r="E12" s="365">
        <v>34</v>
      </c>
      <c r="G12" s="583">
        <f>IF(J12="","","Разлика текущ период:")</f>
      </c>
      <c r="H12" s="583"/>
      <c r="I12" s="583"/>
      <c r="J12" s="427">
        <f>IF(D15=баланс!E43,"",D15-баланс!E43)</f>
      </c>
      <c r="K12" s="426"/>
    </row>
    <row r="13" spans="2:11" ht="12.75">
      <c r="B13" s="674" t="s">
        <v>99</v>
      </c>
      <c r="C13" s="674"/>
      <c r="D13" s="365">
        <v>946</v>
      </c>
      <c r="E13" s="365">
        <v>255</v>
      </c>
      <c r="G13" s="584">
        <f>IF(J12="","","Сума по баланс:")</f>
      </c>
      <c r="H13" s="584"/>
      <c r="I13" s="584"/>
      <c r="J13" s="428">
        <f>IF(J12="","",баланс!E43)</f>
      </c>
      <c r="K13" s="426"/>
    </row>
    <row r="14" spans="2:11" ht="12.75">
      <c r="B14" s="666" t="s">
        <v>597</v>
      </c>
      <c r="C14" s="667"/>
      <c r="D14" s="487"/>
      <c r="E14" s="365"/>
      <c r="G14" s="583"/>
      <c r="H14" s="583"/>
      <c r="I14" s="583"/>
      <c r="J14" s="427">
        <f>IF(E15=баланс!G43,"",E15-баланс!G43)</f>
      </c>
      <c r="K14" s="426"/>
    </row>
    <row r="15" spans="2:11" ht="12.75">
      <c r="B15" s="654" t="s">
        <v>85</v>
      </c>
      <c r="C15" s="656"/>
      <c r="D15" s="331">
        <f>SUM(D10:D14)</f>
        <v>1556</v>
      </c>
      <c r="E15" s="331">
        <f>SUM(E10:E14)</f>
        <v>455</v>
      </c>
      <c r="G15" s="584">
        <f>IF(J14="","","Сума по баланс:")</f>
      </c>
      <c r="H15" s="584"/>
      <c r="I15" s="584"/>
      <c r="J15" s="428">
        <f>IF(J14="","",баланс!G43)</f>
      </c>
      <c r="K15" s="426"/>
    </row>
  </sheetData>
  <sheetProtection/>
  <mergeCells count="25">
    <mergeCell ref="G13:I13"/>
    <mergeCell ref="G14:I14"/>
    <mergeCell ref="G15:I15"/>
    <mergeCell ref="B14:C14"/>
    <mergeCell ref="B15:C15"/>
    <mergeCell ref="B13:C13"/>
    <mergeCell ref="B6:C6"/>
    <mergeCell ref="G6:I6"/>
    <mergeCell ref="B2:C2"/>
    <mergeCell ref="B1:E1"/>
    <mergeCell ref="B3:C3"/>
    <mergeCell ref="G3:K3"/>
    <mergeCell ref="B4:C4"/>
    <mergeCell ref="G4:I4"/>
    <mergeCell ref="B5:C5"/>
    <mergeCell ref="G5:I5"/>
    <mergeCell ref="B7:C7"/>
    <mergeCell ref="G7:I7"/>
    <mergeCell ref="B12:C12"/>
    <mergeCell ref="G11:K11"/>
    <mergeCell ref="G12:I12"/>
    <mergeCell ref="B9:C9"/>
    <mergeCell ref="B10:C10"/>
    <mergeCell ref="B11:C11"/>
    <mergeCell ref="B8:E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00390625" style="197" customWidth="1"/>
    <col min="2" max="2" width="14.57421875" style="197" customWidth="1"/>
    <col min="3" max="3" width="17.421875" style="197" customWidth="1"/>
    <col min="4" max="5" width="12.140625" style="197" customWidth="1"/>
    <col min="6" max="16384" width="9.140625" style="197" customWidth="1"/>
  </cols>
  <sheetData>
    <row r="1" spans="2:5" ht="15">
      <c r="B1" s="616" t="s">
        <v>20</v>
      </c>
      <c r="C1" s="616"/>
      <c r="D1" s="616"/>
      <c r="E1" s="616"/>
    </row>
    <row r="2" spans="2:5" ht="15">
      <c r="B2" s="599" t="s">
        <v>227</v>
      </c>
      <c r="C2" s="600"/>
      <c r="D2" s="104" t="s">
        <v>740</v>
      </c>
      <c r="E2" s="104">
        <v>42369</v>
      </c>
    </row>
    <row r="3" spans="2:5" ht="12.75">
      <c r="B3" s="677" t="s">
        <v>299</v>
      </c>
      <c r="C3" s="678"/>
      <c r="D3" s="450">
        <f>SUM(D4:D14)</f>
        <v>2297</v>
      </c>
      <c r="E3" s="450">
        <f>SUM(E4:E14)</f>
        <v>2348</v>
      </c>
    </row>
    <row r="4" spans="2:5" ht="12.75">
      <c r="B4" s="675" t="s">
        <v>295</v>
      </c>
      <c r="C4" s="675"/>
      <c r="D4" s="449">
        <v>388</v>
      </c>
      <c r="E4" s="449">
        <v>406</v>
      </c>
    </row>
    <row r="5" spans="2:5" ht="12.75">
      <c r="B5" s="675" t="s">
        <v>296</v>
      </c>
      <c r="C5" s="675"/>
      <c r="D5" s="449">
        <v>926</v>
      </c>
      <c r="E5" s="449">
        <v>980</v>
      </c>
    </row>
    <row r="6" spans="2:5" ht="12.75">
      <c r="B6" s="675" t="s">
        <v>297</v>
      </c>
      <c r="C6" s="675"/>
      <c r="D6" s="449">
        <v>862</v>
      </c>
      <c r="E6" s="449">
        <v>862</v>
      </c>
    </row>
    <row r="7" spans="2:5" ht="12.75">
      <c r="B7" s="675" t="s">
        <v>116</v>
      </c>
      <c r="C7" s="675"/>
      <c r="D7" s="449">
        <v>18</v>
      </c>
      <c r="E7" s="449">
        <v>22</v>
      </c>
    </row>
    <row r="8" spans="2:5" ht="12.75">
      <c r="B8" s="358" t="s">
        <v>300</v>
      </c>
      <c r="C8" s="359"/>
      <c r="D8" s="449"/>
      <c r="E8" s="449"/>
    </row>
    <row r="9" spans="2:5" ht="12.75">
      <c r="B9" s="679" t="s">
        <v>301</v>
      </c>
      <c r="C9" s="680"/>
      <c r="D9" s="449"/>
      <c r="E9" s="449"/>
    </row>
    <row r="10" spans="2:5" ht="12.75">
      <c r="B10" s="679" t="s">
        <v>94</v>
      </c>
      <c r="C10" s="680"/>
      <c r="D10" s="449">
        <v>103</v>
      </c>
      <c r="E10" s="449">
        <v>78</v>
      </c>
    </row>
    <row r="11" spans="2:5" ht="12.75">
      <c r="B11" s="679" t="s">
        <v>306</v>
      </c>
      <c r="C11" s="680"/>
      <c r="D11" s="449"/>
      <c r="E11" s="449"/>
    </row>
    <row r="12" spans="2:5" ht="12.75">
      <c r="B12" s="679" t="s">
        <v>306</v>
      </c>
      <c r="C12" s="680"/>
      <c r="D12" s="449"/>
      <c r="E12" s="449"/>
    </row>
    <row r="13" spans="2:5" ht="12.75">
      <c r="B13" s="679" t="s">
        <v>306</v>
      </c>
      <c r="C13" s="680"/>
      <c r="D13" s="449"/>
      <c r="E13" s="449"/>
    </row>
    <row r="14" spans="2:5" ht="12.75">
      <c r="B14" s="679" t="s">
        <v>95</v>
      </c>
      <c r="C14" s="680"/>
      <c r="D14" s="365"/>
      <c r="E14" s="365"/>
    </row>
    <row r="15" spans="2:5" ht="12.75">
      <c r="B15" s="676" t="s">
        <v>302</v>
      </c>
      <c r="C15" s="676"/>
      <c r="D15" s="450">
        <f>SUM(D16:D17)</f>
        <v>2</v>
      </c>
      <c r="E15" s="450">
        <f>SUM(E16:E17)</f>
        <v>2</v>
      </c>
    </row>
    <row r="16" spans="2:5" ht="12.75">
      <c r="B16" s="679" t="s">
        <v>51</v>
      </c>
      <c r="C16" s="680"/>
      <c r="D16" s="449">
        <v>2</v>
      </c>
      <c r="E16" s="449">
        <v>2</v>
      </c>
    </row>
    <row r="17" spans="2:5" ht="12.75">
      <c r="B17" s="679" t="s">
        <v>96</v>
      </c>
      <c r="C17" s="680"/>
      <c r="D17" s="365"/>
      <c r="E17" s="365"/>
    </row>
    <row r="18" spans="2:5" ht="12.75">
      <c r="B18" s="677" t="s">
        <v>303</v>
      </c>
      <c r="C18" s="678"/>
      <c r="D18" s="450">
        <f>SUM(D19:D20)</f>
        <v>0</v>
      </c>
      <c r="E18" s="450">
        <f>SUM(E19:E20)</f>
        <v>0</v>
      </c>
    </row>
    <row r="19" spans="2:5" ht="12.75">
      <c r="B19" s="679" t="s">
        <v>49</v>
      </c>
      <c r="C19" s="680"/>
      <c r="D19" s="449"/>
      <c r="E19" s="449"/>
    </row>
    <row r="20" spans="2:11" ht="12.75">
      <c r="B20" s="679" t="s">
        <v>97</v>
      </c>
      <c r="C20" s="680"/>
      <c r="D20" s="450"/>
      <c r="E20" s="450"/>
      <c r="G20" s="582">
        <f>IF(AND(J21="",J23=""),"","Разлика между БАЛАНСА и ПРИЛОЖЕНИЕТО!")</f>
      </c>
      <c r="H20" s="582"/>
      <c r="I20" s="582"/>
      <c r="J20" s="582"/>
      <c r="K20" s="582"/>
    </row>
    <row r="21" spans="2:11" ht="12.75">
      <c r="B21" s="676" t="s">
        <v>304</v>
      </c>
      <c r="C21" s="676"/>
      <c r="D21" s="450">
        <f>SUM(D22:D23)</f>
        <v>0</v>
      </c>
      <c r="E21" s="450">
        <f>SUM(E22:E23)</f>
        <v>0</v>
      </c>
      <c r="G21" s="583">
        <f>IF(J21="","","Разлика текущ период:")</f>
      </c>
      <c r="H21" s="583"/>
      <c r="I21" s="583"/>
      <c r="J21" s="427">
        <f>IF(D24=баланс!E16,"",D24-баланс!E16)</f>
      </c>
      <c r="K21" s="426"/>
    </row>
    <row r="22" spans="2:11" ht="12.75">
      <c r="B22" s="679" t="s">
        <v>298</v>
      </c>
      <c r="C22" s="680"/>
      <c r="D22" s="449"/>
      <c r="E22" s="449"/>
      <c r="G22" s="584">
        <f>IF(J21="","","Сума по баланс:")</f>
      </c>
      <c r="H22" s="584"/>
      <c r="I22" s="584"/>
      <c r="J22" s="428">
        <f>IF(J21="","",баланс!E16)</f>
      </c>
      <c r="K22" s="426"/>
    </row>
    <row r="23" spans="2:11" ht="12.75">
      <c r="B23" s="679" t="s">
        <v>305</v>
      </c>
      <c r="C23" s="680"/>
      <c r="D23" s="450"/>
      <c r="E23" s="450"/>
      <c r="G23" s="583">
        <f>IF(J23="","","Разлика предходен период:")</f>
      </c>
      <c r="H23" s="583"/>
      <c r="I23" s="583"/>
      <c r="J23" s="427">
        <f>IF(E24=баланс!G16,"",E24-баланс!G16)</f>
      </c>
      <c r="K23" s="426"/>
    </row>
    <row r="24" spans="2:11" ht="12.75">
      <c r="B24" s="594" t="s">
        <v>85</v>
      </c>
      <c r="C24" s="596"/>
      <c r="D24" s="342">
        <f>D3+D15+D18+D21</f>
        <v>2299</v>
      </c>
      <c r="E24" s="342">
        <f>E3+E15+E18+E21</f>
        <v>2350</v>
      </c>
      <c r="G24" s="584">
        <f>IF(J23="","","Сума по баланс:")</f>
      </c>
      <c r="H24" s="584"/>
      <c r="I24" s="584"/>
      <c r="J24" s="428">
        <f>IF(J23="","",баланс!G16)</f>
      </c>
      <c r="K24" s="426"/>
    </row>
    <row r="33" ht="12.75">
      <c r="M33" s="197" t="s">
        <v>722</v>
      </c>
    </row>
  </sheetData>
  <sheetProtection/>
  <mergeCells count="28">
    <mergeCell ref="B23:C23"/>
    <mergeCell ref="B13:C13"/>
    <mergeCell ref="B14:C14"/>
    <mergeCell ref="B16:C16"/>
    <mergeCell ref="B17:C17"/>
    <mergeCell ref="B19:C19"/>
    <mergeCell ref="B20:C20"/>
    <mergeCell ref="B21:C21"/>
    <mergeCell ref="B11:C11"/>
    <mergeCell ref="B12:C12"/>
    <mergeCell ref="G24:I24"/>
    <mergeCell ref="B1:E1"/>
    <mergeCell ref="B2:C2"/>
    <mergeCell ref="B3:C3"/>
    <mergeCell ref="B4:C4"/>
    <mergeCell ref="B5:C5"/>
    <mergeCell ref="B24:C24"/>
    <mergeCell ref="B22:C22"/>
    <mergeCell ref="G22:I22"/>
    <mergeCell ref="G23:I23"/>
    <mergeCell ref="B6:C6"/>
    <mergeCell ref="B7:C7"/>
    <mergeCell ref="B15:C15"/>
    <mergeCell ref="B18:C18"/>
    <mergeCell ref="G20:K20"/>
    <mergeCell ref="G21:I21"/>
    <mergeCell ref="B9:C9"/>
    <mergeCell ref="B10:C10"/>
  </mergeCells>
  <dataValidations count="1">
    <dataValidation allowBlank="1" showInputMessage="1" showErrorMessage="1" promptTitle="&quot;Биекс Одит&quot; ООД:" prompt="Въведи числото със знак минус &quot;-&quot;!&#10;" sqref="D14:E14 D17:E17"/>
  </dataValidation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197" customWidth="1"/>
    <col min="2" max="2" width="14.57421875" style="197" customWidth="1"/>
    <col min="3" max="3" width="25.7109375" style="197" customWidth="1"/>
    <col min="4" max="5" width="12.140625" style="197" customWidth="1"/>
    <col min="6" max="16384" width="9.140625" style="197" customWidth="1"/>
  </cols>
  <sheetData>
    <row r="1" spans="2:5" ht="15">
      <c r="B1" s="616" t="s">
        <v>29</v>
      </c>
      <c r="C1" s="616"/>
      <c r="D1" s="616"/>
      <c r="E1" s="616"/>
    </row>
    <row r="2" spans="2:5" ht="15">
      <c r="B2" s="599" t="s">
        <v>227</v>
      </c>
      <c r="C2" s="600"/>
      <c r="D2" s="104" t="s">
        <v>740</v>
      </c>
      <c r="E2" s="104">
        <v>42369</v>
      </c>
    </row>
    <row r="3" spans="2:5" ht="12.75">
      <c r="B3" s="677" t="s">
        <v>307</v>
      </c>
      <c r="C3" s="678"/>
      <c r="D3" s="450">
        <f>SUM(D4:D5)</f>
        <v>4</v>
      </c>
      <c r="E3" s="450">
        <f>SUM(E4:E5)</f>
        <v>3</v>
      </c>
    </row>
    <row r="4" spans="2:5" ht="12.75">
      <c r="B4" s="675" t="s">
        <v>308</v>
      </c>
      <c r="C4" s="675"/>
      <c r="D4" s="449">
        <v>4</v>
      </c>
      <c r="E4" s="449">
        <v>3</v>
      </c>
    </row>
    <row r="5" spans="2:5" ht="12.75">
      <c r="B5" s="675" t="s">
        <v>102</v>
      </c>
      <c r="C5" s="675"/>
      <c r="D5" s="449"/>
      <c r="E5" s="449"/>
    </row>
    <row r="6" spans="2:5" ht="12.75">
      <c r="B6" s="676" t="s">
        <v>309</v>
      </c>
      <c r="C6" s="676"/>
      <c r="D6" s="449">
        <f>SUM(D7:D8)</f>
        <v>55</v>
      </c>
      <c r="E6" s="449">
        <f>SUM(E7:E8)</f>
        <v>138</v>
      </c>
    </row>
    <row r="7" spans="2:5" ht="12.75">
      <c r="B7" s="675" t="s">
        <v>308</v>
      </c>
      <c r="C7" s="675"/>
      <c r="D7" s="449">
        <v>53</v>
      </c>
      <c r="E7" s="449">
        <v>136</v>
      </c>
    </row>
    <row r="8" spans="2:11" ht="12.75">
      <c r="B8" s="675" t="s">
        <v>102</v>
      </c>
      <c r="C8" s="675"/>
      <c r="D8" s="449">
        <v>2</v>
      </c>
      <c r="E8" s="449">
        <v>2</v>
      </c>
      <c r="G8" s="582">
        <f>IF(AND(J9="",J11=""),"","Разлика между БАЛАНСА и ПРИЛОЖЕНИЕТО!")</f>
      </c>
      <c r="H8" s="582"/>
      <c r="I8" s="582"/>
      <c r="J8" s="582"/>
      <c r="K8" s="582"/>
    </row>
    <row r="9" spans="2:11" ht="12.75">
      <c r="B9" s="676" t="s">
        <v>101</v>
      </c>
      <c r="C9" s="676"/>
      <c r="D9" s="450"/>
      <c r="E9" s="450"/>
      <c r="G9" s="583">
        <f>IF(J9="","","Разлика текущ период:")</f>
      </c>
      <c r="H9" s="583"/>
      <c r="I9" s="583"/>
      <c r="J9" s="427">
        <f>IF(D12=баланс!E19,"",D12-баланс!E19)</f>
      </c>
      <c r="K9" s="426"/>
    </row>
    <row r="10" spans="2:11" ht="12.75">
      <c r="B10" s="677" t="s">
        <v>100</v>
      </c>
      <c r="C10" s="678"/>
      <c r="D10" s="450"/>
      <c r="E10" s="450">
        <v>150</v>
      </c>
      <c r="G10" s="584">
        <f>IF(J9="","","Сума по баланс:")</f>
      </c>
      <c r="H10" s="584"/>
      <c r="I10" s="584"/>
      <c r="J10" s="428">
        <f>IF(J9="","",баланс!E19)</f>
      </c>
      <c r="K10" s="426"/>
    </row>
    <row r="11" spans="2:11" ht="12.75">
      <c r="B11" s="676" t="s">
        <v>310</v>
      </c>
      <c r="C11" s="676"/>
      <c r="D11" s="450"/>
      <c r="E11" s="450"/>
      <c r="G11" s="583"/>
      <c r="H11" s="583"/>
      <c r="I11" s="583"/>
      <c r="J11" s="427">
        <f>IF(E12=баланс!G19,"",E12-баланс!G19)</f>
      </c>
      <c r="K11" s="426"/>
    </row>
    <row r="12" spans="2:11" ht="12.75">
      <c r="B12" s="594" t="s">
        <v>85</v>
      </c>
      <c r="C12" s="596"/>
      <c r="D12" s="450">
        <f>D3+D6+D9+D10+D11</f>
        <v>59</v>
      </c>
      <c r="E12" s="450">
        <f>E3+E6+E9+E10+E11</f>
        <v>291</v>
      </c>
      <c r="G12" s="584">
        <f>IF(J11="","","Сума по баланс:")</f>
      </c>
      <c r="H12" s="584"/>
      <c r="I12" s="584"/>
      <c r="J12" s="428">
        <f>IF(J11="","",баланс!G19)</f>
      </c>
      <c r="K12" s="426"/>
    </row>
  </sheetData>
  <sheetProtection/>
  <mergeCells count="17">
    <mergeCell ref="G12:I12"/>
    <mergeCell ref="B11:C11"/>
    <mergeCell ref="B1:E1"/>
    <mergeCell ref="B2:C2"/>
    <mergeCell ref="B3:C3"/>
    <mergeCell ref="B4:C4"/>
    <mergeCell ref="B12:C12"/>
    <mergeCell ref="B9:C9"/>
    <mergeCell ref="B10:C10"/>
    <mergeCell ref="G8:K8"/>
    <mergeCell ref="G9:I9"/>
    <mergeCell ref="G10:I10"/>
    <mergeCell ref="G11:I11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2.8515625" style="197" customWidth="1"/>
    <col min="2" max="2" width="17.8515625" style="197" customWidth="1"/>
    <col min="3" max="3" width="10.00390625" style="197" customWidth="1"/>
    <col min="4" max="4" width="10.140625" style="197" customWidth="1"/>
    <col min="5" max="5" width="10.00390625" style="197" customWidth="1"/>
    <col min="6" max="6" width="6.57421875" style="197" customWidth="1"/>
    <col min="7" max="7" width="9.57421875" style="197" customWidth="1"/>
    <col min="8" max="8" width="9.8515625" style="197" customWidth="1"/>
    <col min="9" max="9" width="10.421875" style="197" customWidth="1"/>
    <col min="10" max="10" width="8.140625" style="197" customWidth="1"/>
    <col min="11" max="11" width="5.8515625" style="197" customWidth="1"/>
    <col min="12" max="13" width="8.140625" style="197" customWidth="1"/>
    <col min="14" max="16384" width="9.140625" style="197" customWidth="1"/>
  </cols>
  <sheetData>
    <row r="1" spans="2:11" ht="15">
      <c r="B1" s="616" t="s">
        <v>648</v>
      </c>
      <c r="C1" s="616"/>
      <c r="D1" s="616"/>
      <c r="E1" s="616"/>
      <c r="F1" s="616"/>
      <c r="G1" s="616"/>
      <c r="H1" s="616"/>
      <c r="I1" s="624"/>
      <c r="J1" s="624"/>
      <c r="K1" s="340"/>
    </row>
    <row r="2" spans="2:10" ht="12.75">
      <c r="B2" s="686" t="s">
        <v>103</v>
      </c>
      <c r="C2" s="688" t="s">
        <v>740</v>
      </c>
      <c r="D2" s="689"/>
      <c r="E2" s="689"/>
      <c r="F2" s="689"/>
      <c r="G2" s="599" t="s">
        <v>718</v>
      </c>
      <c r="H2" s="602"/>
      <c r="I2" s="602"/>
      <c r="J2" s="600"/>
    </row>
    <row r="3" spans="2:10" ht="12.75" customHeight="1">
      <c r="B3" s="687"/>
      <c r="C3" s="347" t="s">
        <v>313</v>
      </c>
      <c r="D3" s="599" t="s">
        <v>114</v>
      </c>
      <c r="E3" s="600"/>
      <c r="F3" s="339" t="s">
        <v>321</v>
      </c>
      <c r="G3" s="347" t="s">
        <v>313</v>
      </c>
      <c r="H3" s="599" t="s">
        <v>320</v>
      </c>
      <c r="I3" s="600"/>
      <c r="J3" s="344" t="s">
        <v>321</v>
      </c>
    </row>
    <row r="4" spans="2:10" ht="12.75" customHeight="1">
      <c r="B4" s="348" t="s">
        <v>319</v>
      </c>
      <c r="C4" s="349"/>
      <c r="D4" s="683"/>
      <c r="E4" s="683"/>
      <c r="F4" s="350"/>
      <c r="G4" s="346"/>
      <c r="H4" s="684"/>
      <c r="I4" s="685"/>
      <c r="J4" s="238"/>
    </row>
    <row r="5" spans="2:10" ht="12.75" customHeight="1">
      <c r="B5" s="341" t="s">
        <v>104</v>
      </c>
      <c r="C5" s="351"/>
      <c r="D5" s="683"/>
      <c r="E5" s="683"/>
      <c r="F5" s="350"/>
      <c r="G5" s="346"/>
      <c r="H5" s="684"/>
      <c r="I5" s="685"/>
      <c r="J5" s="238"/>
    </row>
    <row r="6" spans="2:10" ht="12.75" customHeight="1">
      <c r="B6" s="341" t="s">
        <v>105</v>
      </c>
      <c r="C6" s="351">
        <v>19841689</v>
      </c>
      <c r="D6" s="683">
        <v>19841689</v>
      </c>
      <c r="E6" s="683"/>
      <c r="F6" s="350">
        <v>1</v>
      </c>
      <c r="G6" s="346">
        <v>19841689</v>
      </c>
      <c r="H6" s="684">
        <v>19841689</v>
      </c>
      <c r="I6" s="685"/>
      <c r="J6" s="238">
        <v>1</v>
      </c>
    </row>
    <row r="7" spans="2:10" ht="12.75" customHeight="1">
      <c r="B7" s="341" t="s">
        <v>106</v>
      </c>
      <c r="C7" s="351"/>
      <c r="D7" s="683"/>
      <c r="E7" s="683"/>
      <c r="F7" s="350"/>
      <c r="G7" s="346"/>
      <c r="H7" s="684"/>
      <c r="I7" s="685"/>
      <c r="J7" s="238"/>
    </row>
    <row r="8" spans="2:10" ht="12.75" customHeight="1">
      <c r="B8" s="341" t="s">
        <v>65</v>
      </c>
      <c r="C8" s="351"/>
      <c r="D8" s="683"/>
      <c r="E8" s="683"/>
      <c r="F8" s="350"/>
      <c r="G8" s="346"/>
      <c r="H8" s="684"/>
      <c r="I8" s="685"/>
      <c r="J8" s="238"/>
    </row>
    <row r="9" spans="2:10" ht="12.75" customHeight="1">
      <c r="B9" s="341" t="s">
        <v>107</v>
      </c>
      <c r="C9" s="351"/>
      <c r="D9" s="683"/>
      <c r="E9" s="683"/>
      <c r="F9" s="350"/>
      <c r="G9" s="346"/>
      <c r="H9" s="684"/>
      <c r="I9" s="685"/>
      <c r="J9" s="238"/>
    </row>
    <row r="10" spans="2:10" ht="12.75" customHeight="1">
      <c r="B10" s="348" t="s">
        <v>108</v>
      </c>
      <c r="C10" s="349"/>
      <c r="D10" s="683"/>
      <c r="E10" s="683"/>
      <c r="F10" s="350"/>
      <c r="G10" s="346"/>
      <c r="H10" s="684"/>
      <c r="I10" s="685"/>
      <c r="J10" s="238"/>
    </row>
    <row r="11" spans="2:10" ht="12.75" customHeight="1">
      <c r="B11" s="341" t="s">
        <v>104</v>
      </c>
      <c r="C11" s="351"/>
      <c r="D11" s="683"/>
      <c r="E11" s="683"/>
      <c r="F11" s="350"/>
      <c r="G11" s="346"/>
      <c r="H11" s="684"/>
      <c r="I11" s="685"/>
      <c r="J11" s="238"/>
    </row>
    <row r="12" spans="2:10" ht="12.75" customHeight="1">
      <c r="B12" s="341" t="s">
        <v>105</v>
      </c>
      <c r="C12" s="351"/>
      <c r="D12" s="683"/>
      <c r="E12" s="683"/>
      <c r="F12" s="350"/>
      <c r="G12" s="346"/>
      <c r="H12" s="684"/>
      <c r="I12" s="685"/>
      <c r="J12" s="238"/>
    </row>
    <row r="13" spans="2:10" ht="12.75" customHeight="1">
      <c r="B13" s="341" t="s">
        <v>106</v>
      </c>
      <c r="C13" s="351"/>
      <c r="D13" s="683"/>
      <c r="E13" s="683"/>
      <c r="F13" s="350"/>
      <c r="G13" s="346"/>
      <c r="H13" s="684"/>
      <c r="I13" s="685"/>
      <c r="J13" s="238"/>
    </row>
    <row r="14" spans="2:10" ht="12.75" customHeight="1">
      <c r="B14" s="341" t="s">
        <v>65</v>
      </c>
      <c r="C14" s="351"/>
      <c r="D14" s="683"/>
      <c r="E14" s="683"/>
      <c r="F14" s="350"/>
      <c r="G14" s="346"/>
      <c r="H14" s="684"/>
      <c r="I14" s="685"/>
      <c r="J14" s="238"/>
    </row>
    <row r="15" spans="2:10" ht="12.75" customHeight="1">
      <c r="B15" s="341" t="s">
        <v>107</v>
      </c>
      <c r="C15" s="351"/>
      <c r="D15" s="683"/>
      <c r="E15" s="683"/>
      <c r="F15" s="350"/>
      <c r="G15" s="346"/>
      <c r="H15" s="684"/>
      <c r="I15" s="685"/>
      <c r="J15" s="238"/>
    </row>
    <row r="16" spans="2:10" ht="12.75">
      <c r="B16" s="316" t="s">
        <v>92</v>
      </c>
      <c r="C16" s="352">
        <f>SUM(C5:C9)+SUM(C11:C15)</f>
        <v>19841689</v>
      </c>
      <c r="D16" s="690">
        <v>0</v>
      </c>
      <c r="E16" s="690"/>
      <c r="F16" s="352"/>
      <c r="G16" s="352">
        <f>SUM(G5:G9)+SUM(G11:G15)</f>
        <v>19841689</v>
      </c>
      <c r="H16" s="690">
        <v>0</v>
      </c>
      <c r="I16" s="690"/>
      <c r="J16" s="353"/>
    </row>
    <row r="17" spans="2:10" ht="15">
      <c r="B17" s="616" t="s">
        <v>311</v>
      </c>
      <c r="C17" s="616"/>
      <c r="D17" s="616"/>
      <c r="E17" s="616"/>
      <c r="F17" s="616"/>
      <c r="G17" s="616"/>
      <c r="H17" s="616"/>
      <c r="I17" s="624"/>
      <c r="J17" s="624"/>
    </row>
    <row r="18" spans="2:10" ht="12.75">
      <c r="B18" s="625" t="s">
        <v>312</v>
      </c>
      <c r="C18" s="681" t="str">
        <f>C2</f>
        <v>31.12.2016г.</v>
      </c>
      <c r="D18" s="682"/>
      <c r="E18" s="682"/>
      <c r="F18" s="682"/>
      <c r="G18" s="681" t="str">
        <f>G2</f>
        <v>31.12.2015 г.</v>
      </c>
      <c r="H18" s="682"/>
      <c r="I18" s="682"/>
      <c r="J18" s="682"/>
    </row>
    <row r="19" spans="2:10" ht="25.5">
      <c r="B19" s="625"/>
      <c r="C19" s="354" t="s">
        <v>313</v>
      </c>
      <c r="D19" s="344" t="s">
        <v>114</v>
      </c>
      <c r="E19" s="344" t="s">
        <v>314</v>
      </c>
      <c r="F19" s="354" t="s">
        <v>315</v>
      </c>
      <c r="G19" s="354" t="s">
        <v>313</v>
      </c>
      <c r="H19" s="344" t="s">
        <v>114</v>
      </c>
      <c r="I19" s="344" t="s">
        <v>314</v>
      </c>
      <c r="J19" s="354" t="s">
        <v>315</v>
      </c>
    </row>
    <row r="20" spans="2:10" ht="26.25" customHeight="1">
      <c r="B20" s="341" t="s">
        <v>724</v>
      </c>
      <c r="C20" s="346">
        <v>19841689</v>
      </c>
      <c r="D20" s="346">
        <v>19841689</v>
      </c>
      <c r="E20" s="346">
        <v>19841689</v>
      </c>
      <c r="F20" s="355">
        <v>1</v>
      </c>
      <c r="G20" s="346">
        <v>19841689</v>
      </c>
      <c r="H20" s="346">
        <v>19841689</v>
      </c>
      <c r="I20" s="346">
        <v>19841689</v>
      </c>
      <c r="J20" s="355">
        <v>1</v>
      </c>
    </row>
    <row r="21" spans="2:10" ht="26.25" customHeight="1">
      <c r="B21" s="341"/>
      <c r="C21" s="346"/>
      <c r="D21" s="346"/>
      <c r="E21" s="346"/>
      <c r="F21" s="355"/>
      <c r="G21" s="346"/>
      <c r="H21" s="346" t="s">
        <v>30</v>
      </c>
      <c r="I21" s="346"/>
      <c r="J21" s="355"/>
    </row>
    <row r="22" spans="2:10" ht="26.25" customHeight="1">
      <c r="B22" s="341"/>
      <c r="C22" s="346"/>
      <c r="D22" s="346"/>
      <c r="E22" s="346"/>
      <c r="F22" s="355"/>
      <c r="G22" s="346"/>
      <c r="H22" s="346"/>
      <c r="I22" s="346"/>
      <c r="J22" s="355"/>
    </row>
    <row r="23" spans="2:10" ht="26.25" customHeight="1">
      <c r="B23" s="341"/>
      <c r="C23" s="346"/>
      <c r="D23" s="346"/>
      <c r="E23" s="346"/>
      <c r="F23" s="355"/>
      <c r="G23" s="346"/>
      <c r="H23" s="346"/>
      <c r="I23" s="346"/>
      <c r="J23" s="355"/>
    </row>
    <row r="24" spans="2:10" ht="26.25" customHeight="1">
      <c r="B24" s="341"/>
      <c r="C24" s="346"/>
      <c r="D24" s="346"/>
      <c r="E24" s="346"/>
      <c r="F24" s="355"/>
      <c r="G24" s="346"/>
      <c r="H24" s="346"/>
      <c r="I24" s="346"/>
      <c r="J24" s="355"/>
    </row>
    <row r="25" spans="2:10" ht="12.75">
      <c r="B25" s="316" t="s">
        <v>92</v>
      </c>
      <c r="C25" s="342">
        <f aca="true" t="shared" si="0" ref="C25:J25">SUM(C20:C24)</f>
        <v>19841689</v>
      </c>
      <c r="D25" s="342">
        <f t="shared" si="0"/>
        <v>19841689</v>
      </c>
      <c r="E25" s="342">
        <f t="shared" si="0"/>
        <v>19841689</v>
      </c>
      <c r="F25" s="356">
        <f t="shared" si="0"/>
        <v>1</v>
      </c>
      <c r="G25" s="342">
        <f t="shared" si="0"/>
        <v>19841689</v>
      </c>
      <c r="H25" s="342">
        <f t="shared" si="0"/>
        <v>19841689</v>
      </c>
      <c r="I25" s="342">
        <f t="shared" si="0"/>
        <v>19841689</v>
      </c>
      <c r="J25" s="356">
        <f t="shared" si="0"/>
        <v>1</v>
      </c>
    </row>
    <row r="26" spans="2:10" ht="15">
      <c r="B26" s="616" t="s">
        <v>316</v>
      </c>
      <c r="C26" s="616"/>
      <c r="D26" s="616"/>
      <c r="E26" s="616"/>
      <c r="F26" s="616"/>
      <c r="G26" s="616"/>
      <c r="H26" s="616"/>
      <c r="I26" s="616"/>
      <c r="J26" s="616"/>
    </row>
    <row r="27" spans="2:10" ht="12.75">
      <c r="B27" s="625" t="s">
        <v>317</v>
      </c>
      <c r="C27" s="681" t="str">
        <f>C2</f>
        <v>31.12.2016г.</v>
      </c>
      <c r="D27" s="682"/>
      <c r="E27" s="682"/>
      <c r="F27" s="682"/>
      <c r="G27" s="682" t="str">
        <f>G2</f>
        <v>31.12.2015 г.</v>
      </c>
      <c r="H27" s="682"/>
      <c r="I27" s="682"/>
      <c r="J27" s="682"/>
    </row>
    <row r="28" spans="2:10" ht="25.5">
      <c r="B28" s="625"/>
      <c r="C28" s="354" t="s">
        <v>318</v>
      </c>
      <c r="D28" s="344" t="s">
        <v>114</v>
      </c>
      <c r="E28" s="344" t="s">
        <v>314</v>
      </c>
      <c r="F28" s="354" t="s">
        <v>315</v>
      </c>
      <c r="G28" s="354" t="s">
        <v>318</v>
      </c>
      <c r="H28" s="344" t="s">
        <v>114</v>
      </c>
      <c r="I28" s="344" t="s">
        <v>314</v>
      </c>
      <c r="J28" s="354" t="s">
        <v>315</v>
      </c>
    </row>
    <row r="29" spans="2:10" ht="26.25" customHeight="1">
      <c r="B29" s="341"/>
      <c r="C29" s="346"/>
      <c r="D29" s="346"/>
      <c r="E29" s="346"/>
      <c r="F29" s="355"/>
      <c r="G29" s="346"/>
      <c r="H29" s="346"/>
      <c r="I29" s="346"/>
      <c r="J29" s="355"/>
    </row>
    <row r="30" spans="2:10" ht="26.25" customHeight="1">
      <c r="B30" s="341"/>
      <c r="C30" s="346"/>
      <c r="D30" s="346"/>
      <c r="E30" s="346"/>
      <c r="F30" s="355"/>
      <c r="G30" s="346"/>
      <c r="H30" s="346"/>
      <c r="I30" s="346"/>
      <c r="J30" s="355"/>
    </row>
    <row r="31" spans="2:10" ht="26.25" customHeight="1">
      <c r="B31" s="341"/>
      <c r="C31" s="346"/>
      <c r="D31" s="346"/>
      <c r="E31" s="346"/>
      <c r="F31" s="355"/>
      <c r="G31" s="346"/>
      <c r="H31" s="346"/>
      <c r="I31" s="346"/>
      <c r="J31" s="355"/>
    </row>
    <row r="32" spans="2:10" ht="26.25" customHeight="1">
      <c r="B32" s="341"/>
      <c r="C32" s="346"/>
      <c r="D32" s="346"/>
      <c r="E32" s="346"/>
      <c r="F32" s="355"/>
      <c r="G32" s="346"/>
      <c r="H32" s="346"/>
      <c r="I32" s="346"/>
      <c r="J32" s="355"/>
    </row>
    <row r="33" spans="2:10" ht="26.25" customHeight="1">
      <c r="B33" s="341"/>
      <c r="C33" s="346"/>
      <c r="D33" s="346"/>
      <c r="E33" s="346"/>
      <c r="F33" s="355"/>
      <c r="G33" s="346"/>
      <c r="H33" s="346"/>
      <c r="I33" s="346"/>
      <c r="J33" s="355"/>
    </row>
    <row r="34" spans="2:10" ht="12.75">
      <c r="B34" s="316" t="s">
        <v>92</v>
      </c>
      <c r="C34" s="342">
        <f aca="true" t="shared" si="1" ref="C34:J34">SUM(C29:C33)</f>
        <v>0</v>
      </c>
      <c r="D34" s="342">
        <f t="shared" si="1"/>
        <v>0</v>
      </c>
      <c r="E34" s="342">
        <f t="shared" si="1"/>
        <v>0</v>
      </c>
      <c r="F34" s="356">
        <f t="shared" si="1"/>
        <v>0</v>
      </c>
      <c r="G34" s="342">
        <f t="shared" si="1"/>
        <v>0</v>
      </c>
      <c r="H34" s="342">
        <f t="shared" si="1"/>
        <v>0</v>
      </c>
      <c r="I34" s="342">
        <f t="shared" si="1"/>
        <v>0</v>
      </c>
      <c r="J34" s="356">
        <f t="shared" si="1"/>
        <v>0</v>
      </c>
    </row>
  </sheetData>
  <sheetProtection/>
  <mergeCells count="40">
    <mergeCell ref="D9:E9"/>
    <mergeCell ref="C18:F18"/>
    <mergeCell ref="H13:I13"/>
    <mergeCell ref="H6:I6"/>
    <mergeCell ref="H10:I10"/>
    <mergeCell ref="H11:I11"/>
    <mergeCell ref="H12:I12"/>
    <mergeCell ref="H9:I9"/>
    <mergeCell ref="D10:E10"/>
    <mergeCell ref="D11:E11"/>
    <mergeCell ref="D12:E12"/>
    <mergeCell ref="D13:E13"/>
    <mergeCell ref="G18:J18"/>
    <mergeCell ref="H14:I14"/>
    <mergeCell ref="D16:E16"/>
    <mergeCell ref="D15:E15"/>
    <mergeCell ref="B17:J17"/>
    <mergeCell ref="H15:I15"/>
    <mergeCell ref="H16:I16"/>
    <mergeCell ref="D14:E14"/>
    <mergeCell ref="D5:E5"/>
    <mergeCell ref="G2:J2"/>
    <mergeCell ref="H3:I3"/>
    <mergeCell ref="H4:I4"/>
    <mergeCell ref="H5:I5"/>
    <mergeCell ref="B1:J1"/>
    <mergeCell ref="B2:B3"/>
    <mergeCell ref="D3:E3"/>
    <mergeCell ref="D4:E4"/>
    <mergeCell ref="C2:F2"/>
    <mergeCell ref="B27:B28"/>
    <mergeCell ref="C27:F27"/>
    <mergeCell ref="G27:J27"/>
    <mergeCell ref="D6:E6"/>
    <mergeCell ref="D8:E8"/>
    <mergeCell ref="D7:E7"/>
    <mergeCell ref="H7:I7"/>
    <mergeCell ref="H8:I8"/>
    <mergeCell ref="B26:J26"/>
    <mergeCell ref="B18:B19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140625" style="197" customWidth="1"/>
    <col min="2" max="2" width="34.140625" style="197" customWidth="1"/>
    <col min="3" max="3" width="11.140625" style="197" customWidth="1"/>
    <col min="4" max="4" width="11.7109375" style="197" customWidth="1"/>
    <col min="5" max="5" width="11.28125" style="197" customWidth="1"/>
    <col min="6" max="6" width="11.7109375" style="197" customWidth="1"/>
    <col min="7" max="16384" width="9.140625" style="197" customWidth="1"/>
  </cols>
  <sheetData>
    <row r="1" spans="2:6" ht="15">
      <c r="B1" s="616" t="s">
        <v>25</v>
      </c>
      <c r="C1" s="616"/>
      <c r="D1" s="616"/>
      <c r="E1" s="616"/>
      <c r="F1" s="616"/>
    </row>
    <row r="2" spans="2:6" ht="51">
      <c r="B2" s="431"/>
      <c r="C2" s="454" t="s">
        <v>322</v>
      </c>
      <c r="D2" s="455" t="s">
        <v>7</v>
      </c>
      <c r="E2" s="455" t="s">
        <v>23</v>
      </c>
      <c r="F2" s="455" t="s">
        <v>109</v>
      </c>
    </row>
    <row r="3" spans="2:6" s="340" customFormat="1" ht="12.75" customHeight="1">
      <c r="B3" s="339" t="s">
        <v>725</v>
      </c>
      <c r="C3" s="431">
        <v>16197</v>
      </c>
      <c r="D3" s="431">
        <v>1984</v>
      </c>
      <c r="E3" s="431">
        <v>9334</v>
      </c>
      <c r="F3" s="434">
        <f>SUM(C3:E3)</f>
        <v>27515</v>
      </c>
    </row>
    <row r="4" spans="2:6" ht="12.75" customHeight="1">
      <c r="B4" s="341" t="s">
        <v>323</v>
      </c>
      <c r="C4" s="232"/>
      <c r="D4" s="232"/>
      <c r="E4" s="232"/>
      <c r="F4" s="232">
        <f>SUM(C4:E4)</f>
        <v>0</v>
      </c>
    </row>
    <row r="5" spans="2:6" ht="12.75" customHeight="1">
      <c r="B5" s="341" t="s">
        <v>324</v>
      </c>
      <c r="C5" s="232"/>
      <c r="D5" s="232"/>
      <c r="E5" s="232"/>
      <c r="F5" s="232">
        <f>SUM(C5:E5)</f>
        <v>0</v>
      </c>
    </row>
    <row r="6" spans="2:6" s="340" customFormat="1" ht="12.75" customHeight="1">
      <c r="B6" s="456" t="s">
        <v>726</v>
      </c>
      <c r="C6" s="342">
        <f>SUM(C3:C5)</f>
        <v>16197</v>
      </c>
      <c r="D6" s="342">
        <f>SUM(D3:D5)</f>
        <v>1984</v>
      </c>
      <c r="E6" s="342">
        <f>SUM(E3:E5)</f>
        <v>9334</v>
      </c>
      <c r="F6" s="446">
        <f>SUM(F3:F5)</f>
        <v>27515</v>
      </c>
    </row>
    <row r="7" spans="2:6" ht="12.75">
      <c r="B7" s="339" t="s">
        <v>110</v>
      </c>
      <c r="C7" s="457">
        <f>SUM(C8:C10)</f>
        <v>0</v>
      </c>
      <c r="D7" s="457">
        <f>SUM(D8:D9)</f>
        <v>0</v>
      </c>
      <c r="E7" s="457">
        <f>SUM(E8:E9)</f>
        <v>0</v>
      </c>
      <c r="F7" s="434">
        <f>SUM(C7:E7)</f>
        <v>0</v>
      </c>
    </row>
    <row r="8" spans="2:6" ht="12.75">
      <c r="B8" s="341" t="s">
        <v>111</v>
      </c>
      <c r="C8" s="458"/>
      <c r="D8" s="458"/>
      <c r="E8" s="458"/>
      <c r="F8" s="232"/>
    </row>
    <row r="9" spans="2:6" ht="12.75">
      <c r="B9" s="341" t="s">
        <v>325</v>
      </c>
      <c r="C9" s="458"/>
      <c r="D9" s="458"/>
      <c r="E9" s="458"/>
      <c r="F9" s="232">
        <v>9247</v>
      </c>
    </row>
    <row r="10" spans="2:6" ht="12.75">
      <c r="B10" s="341" t="s">
        <v>37</v>
      </c>
      <c r="C10" s="458"/>
      <c r="D10" s="458"/>
      <c r="E10" s="458"/>
      <c r="F10" s="232">
        <f aca="true" t="shared" si="0" ref="F10:F15">SUM(C10:E10)</f>
        <v>0</v>
      </c>
    </row>
    <row r="11" spans="2:6" ht="12.75">
      <c r="B11" s="339" t="s">
        <v>112</v>
      </c>
      <c r="C11" s="457">
        <f>SUM(C12:C15)</f>
        <v>-3</v>
      </c>
      <c r="D11" s="457">
        <f>SUM(D12:D15)</f>
        <v>0</v>
      </c>
      <c r="E11" s="457">
        <f>SUM(E12:E15)</f>
        <v>-189</v>
      </c>
      <c r="F11" s="434">
        <f>SUM(C11:E11)</f>
        <v>-192</v>
      </c>
    </row>
    <row r="12" spans="2:6" ht="12.75">
      <c r="B12" s="341" t="s">
        <v>326</v>
      </c>
      <c r="C12" s="458"/>
      <c r="D12" s="232"/>
      <c r="E12" s="458">
        <v>-189</v>
      </c>
      <c r="F12" s="232">
        <f t="shared" si="0"/>
        <v>-189</v>
      </c>
    </row>
    <row r="13" spans="2:6" ht="12.75">
      <c r="B13" s="341" t="s">
        <v>325</v>
      </c>
      <c r="C13" s="458">
        <v>-3</v>
      </c>
      <c r="D13" s="232"/>
      <c r="E13" s="458"/>
      <c r="F13" s="232">
        <f t="shared" si="0"/>
        <v>-3</v>
      </c>
    </row>
    <row r="14" spans="2:6" ht="12.75">
      <c r="B14" s="341" t="s">
        <v>327</v>
      </c>
      <c r="C14" s="458"/>
      <c r="D14" s="232"/>
      <c r="E14" s="458"/>
      <c r="F14" s="232">
        <f t="shared" si="0"/>
        <v>0</v>
      </c>
    </row>
    <row r="15" spans="2:6" ht="12.75">
      <c r="B15" s="341" t="s">
        <v>37</v>
      </c>
      <c r="C15" s="458">
        <v>0</v>
      </c>
      <c r="D15" s="232"/>
      <c r="E15" s="458"/>
      <c r="F15" s="232">
        <f t="shared" si="0"/>
        <v>0</v>
      </c>
    </row>
    <row r="16" spans="2:6" s="340" customFormat="1" ht="12.75">
      <c r="B16" s="339" t="s">
        <v>727</v>
      </c>
      <c r="C16" s="446">
        <f>C6+C7+C11</f>
        <v>16194</v>
      </c>
      <c r="D16" s="446">
        <f>D6+D7+D11</f>
        <v>1984</v>
      </c>
      <c r="E16" s="446">
        <f>E6+E7+E11</f>
        <v>9145</v>
      </c>
      <c r="F16" s="446">
        <f>F6+F7+F11</f>
        <v>27323</v>
      </c>
    </row>
    <row r="17" spans="2:6" s="340" customFormat="1" ht="12.75">
      <c r="B17" s="339" t="s">
        <v>110</v>
      </c>
      <c r="C17" s="457">
        <f>SUM(C18:C20)</f>
        <v>0</v>
      </c>
      <c r="D17" s="457">
        <f>SUM(D18:D19)</f>
        <v>0</v>
      </c>
      <c r="E17" s="457">
        <f>SUM(E18:E19)</f>
        <v>0</v>
      </c>
      <c r="F17" s="434">
        <f aca="true" t="shared" si="1" ref="F17:F25">SUM(C17:E17)</f>
        <v>0</v>
      </c>
    </row>
    <row r="18" spans="2:6" s="340" customFormat="1" ht="12.75">
      <c r="B18" s="341" t="s">
        <v>111</v>
      </c>
      <c r="C18" s="458"/>
      <c r="D18" s="458"/>
      <c r="E18" s="458"/>
      <c r="F18" s="232">
        <f t="shared" si="1"/>
        <v>0</v>
      </c>
    </row>
    <row r="19" spans="2:6" s="340" customFormat="1" ht="12.75">
      <c r="B19" s="341" t="s">
        <v>325</v>
      </c>
      <c r="C19" s="458"/>
      <c r="D19" s="458"/>
      <c r="E19" s="458"/>
      <c r="F19" s="232">
        <f t="shared" si="1"/>
        <v>0</v>
      </c>
    </row>
    <row r="20" spans="2:6" s="340" customFormat="1" ht="12.75">
      <c r="B20" s="341" t="s">
        <v>37</v>
      </c>
      <c r="C20" s="458"/>
      <c r="D20" s="458"/>
      <c r="E20" s="458"/>
      <c r="F20" s="232">
        <f t="shared" si="1"/>
        <v>0</v>
      </c>
    </row>
    <row r="21" spans="2:6" s="340" customFormat="1" ht="12.75">
      <c r="B21" s="339" t="s">
        <v>112</v>
      </c>
      <c r="C21" s="457">
        <f>SUM(C22:C25)</f>
        <v>-4</v>
      </c>
      <c r="D21" s="457">
        <f>SUM(D22:D25)</f>
        <v>0</v>
      </c>
      <c r="E21" s="457">
        <f>SUM(E22:E25)</f>
        <v>0</v>
      </c>
      <c r="F21" s="434">
        <f t="shared" si="1"/>
        <v>-4</v>
      </c>
    </row>
    <row r="22" spans="2:8" s="340" customFormat="1" ht="12.75">
      <c r="B22" s="341" t="s">
        <v>326</v>
      </c>
      <c r="C22" s="458"/>
      <c r="D22" s="232"/>
      <c r="E22" s="458"/>
      <c r="F22" s="232">
        <f t="shared" si="1"/>
        <v>0</v>
      </c>
      <c r="H22" s="340" t="s">
        <v>30</v>
      </c>
    </row>
    <row r="23" spans="2:6" s="340" customFormat="1" ht="12.75">
      <c r="B23" s="341" t="s">
        <v>325</v>
      </c>
      <c r="C23" s="458"/>
      <c r="D23" s="232"/>
      <c r="E23" s="458"/>
      <c r="F23" s="232">
        <f t="shared" si="1"/>
        <v>0</v>
      </c>
    </row>
    <row r="24" spans="2:6" s="340" customFormat="1" ht="12.75">
      <c r="B24" s="341" t="s">
        <v>327</v>
      </c>
      <c r="C24" s="458"/>
      <c r="D24" s="232"/>
      <c r="E24" s="458"/>
      <c r="F24" s="232">
        <f t="shared" si="1"/>
        <v>0</v>
      </c>
    </row>
    <row r="25" spans="2:6" s="340" customFormat="1" ht="12.75">
      <c r="B25" s="341" t="s">
        <v>37</v>
      </c>
      <c r="C25" s="458">
        <v>-4</v>
      </c>
      <c r="D25" s="232"/>
      <c r="E25" s="458"/>
      <c r="F25" s="232">
        <f t="shared" si="1"/>
        <v>-4</v>
      </c>
    </row>
    <row r="26" spans="2:6" s="340" customFormat="1" ht="12.75">
      <c r="B26" s="339" t="s">
        <v>752</v>
      </c>
      <c r="C26" s="446">
        <f>C16+C17+C21</f>
        <v>16190</v>
      </c>
      <c r="D26" s="446">
        <f>D16+D17+D21</f>
        <v>1984</v>
      </c>
      <c r="E26" s="446">
        <f>E16+E17+E21</f>
        <v>9145</v>
      </c>
      <c r="F26" s="446">
        <f>F16+F17+F21</f>
        <v>27319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9.140625" style="197" customWidth="1"/>
    <col min="2" max="2" width="38.8515625" style="197" customWidth="1"/>
    <col min="3" max="3" width="11.421875" style="197" customWidth="1"/>
    <col min="4" max="5" width="9.140625" style="197" customWidth="1"/>
    <col min="6" max="6" width="29.8515625" style="197" customWidth="1"/>
    <col min="7" max="16384" width="9.140625" style="197" customWidth="1"/>
  </cols>
  <sheetData>
    <row r="1" spans="2:3" ht="15">
      <c r="B1" s="616" t="s">
        <v>26</v>
      </c>
      <c r="C1" s="616"/>
    </row>
    <row r="2" spans="2:3" ht="12.75">
      <c r="B2" s="344" t="s">
        <v>26</v>
      </c>
      <c r="C2" s="344" t="s">
        <v>114</v>
      </c>
    </row>
    <row r="3" spans="2:3" ht="12.75">
      <c r="B3" s="431" t="s">
        <v>729</v>
      </c>
      <c r="C3" s="345">
        <v>5323</v>
      </c>
    </row>
    <row r="4" spans="2:3" ht="12.75">
      <c r="B4" s="431" t="s">
        <v>110</v>
      </c>
      <c r="C4" s="345">
        <f>SUM(C5:C6)</f>
        <v>0</v>
      </c>
    </row>
    <row r="5" spans="2:3" ht="12.75">
      <c r="B5" s="430" t="s">
        <v>697</v>
      </c>
      <c r="C5" s="346"/>
    </row>
    <row r="6" spans="2:3" ht="12.75">
      <c r="B6" s="430" t="s">
        <v>328</v>
      </c>
      <c r="C6" s="346"/>
    </row>
    <row r="7" spans="2:3" ht="12.75">
      <c r="B7" s="431" t="s">
        <v>112</v>
      </c>
      <c r="C7" s="345">
        <f>C8+C9+C10</f>
        <v>0</v>
      </c>
    </row>
    <row r="8" spans="2:3" ht="12.75">
      <c r="B8" s="430" t="s">
        <v>329</v>
      </c>
      <c r="C8" s="346"/>
    </row>
    <row r="9" spans="2:5" ht="12.75">
      <c r="B9" s="430" t="s">
        <v>113</v>
      </c>
      <c r="C9" s="346"/>
      <c r="E9" s="197" t="s">
        <v>330</v>
      </c>
    </row>
    <row r="10" spans="2:3" ht="12.75">
      <c r="B10" s="430" t="s">
        <v>328</v>
      </c>
      <c r="C10" s="346"/>
    </row>
    <row r="11" spans="2:3" ht="12.75">
      <c r="B11" s="452" t="s">
        <v>731</v>
      </c>
      <c r="C11" s="342">
        <f>C3+C4+C7</f>
        <v>5323</v>
      </c>
    </row>
    <row r="12" spans="2:3" ht="12.75">
      <c r="B12" s="431" t="s">
        <v>110</v>
      </c>
      <c r="C12" s="450">
        <f>SUM(C13:C14)</f>
        <v>1636</v>
      </c>
    </row>
    <row r="13" spans="2:3" ht="12.75">
      <c r="B13" s="430" t="s">
        <v>732</v>
      </c>
      <c r="C13" s="450">
        <v>1636</v>
      </c>
    </row>
    <row r="14" spans="2:3" ht="12.75">
      <c r="B14" s="430" t="s">
        <v>331</v>
      </c>
      <c r="C14" s="450"/>
    </row>
    <row r="15" spans="2:3" ht="12.75">
      <c r="B15" s="431" t="s">
        <v>112</v>
      </c>
      <c r="C15" s="450">
        <f>SUM(C16:C18)</f>
        <v>0</v>
      </c>
    </row>
    <row r="16" spans="2:3" ht="12.75">
      <c r="B16" s="430" t="s">
        <v>329</v>
      </c>
      <c r="C16" s="450"/>
    </row>
    <row r="17" spans="2:5" ht="12.75">
      <c r="B17" s="430" t="s">
        <v>113</v>
      </c>
      <c r="C17" s="450"/>
      <c r="E17" s="197" t="s">
        <v>30</v>
      </c>
    </row>
    <row r="18" spans="2:3" ht="12.75">
      <c r="B18" s="430" t="s">
        <v>328</v>
      </c>
      <c r="C18" s="450"/>
    </row>
    <row r="19" spans="2:3" ht="12.75">
      <c r="B19" s="452" t="s">
        <v>748</v>
      </c>
      <c r="C19" s="342">
        <f>C11+C12+C15</f>
        <v>6959</v>
      </c>
    </row>
    <row r="20" spans="2:5" ht="12.75">
      <c r="B20" s="431" t="s">
        <v>733</v>
      </c>
      <c r="C20" s="345">
        <v>-6424</v>
      </c>
      <c r="E20" s="197" t="s">
        <v>30</v>
      </c>
    </row>
    <row r="21" spans="2:3" ht="12.75">
      <c r="B21" s="431" t="s">
        <v>110</v>
      </c>
      <c r="C21" s="345">
        <f>SUM(C22:C23)</f>
        <v>-7811</v>
      </c>
    </row>
    <row r="22" spans="2:3" ht="12.75">
      <c r="B22" s="430" t="s">
        <v>730</v>
      </c>
      <c r="C22" s="346">
        <v>-7811</v>
      </c>
    </row>
    <row r="23" spans="2:3" ht="12.75">
      <c r="B23" s="430" t="s">
        <v>328</v>
      </c>
      <c r="C23" s="346"/>
    </row>
    <row r="24" spans="2:3" ht="12.75">
      <c r="B24" s="431" t="s">
        <v>112</v>
      </c>
      <c r="C24" s="345">
        <f>C25+C26+C27</f>
        <v>165</v>
      </c>
    </row>
    <row r="25" spans="2:3" ht="12.75">
      <c r="B25" s="430" t="s">
        <v>332</v>
      </c>
      <c r="C25" s="345"/>
    </row>
    <row r="26" spans="2:5" ht="12.75">
      <c r="B26" s="430" t="s">
        <v>331</v>
      </c>
      <c r="C26" s="346">
        <v>162</v>
      </c>
      <c r="E26" s="197" t="s">
        <v>333</v>
      </c>
    </row>
    <row r="27" spans="2:3" ht="12.75">
      <c r="B27" s="430" t="s">
        <v>328</v>
      </c>
      <c r="C27" s="346">
        <v>3</v>
      </c>
    </row>
    <row r="28" spans="2:3" ht="12.75">
      <c r="B28" s="431" t="s">
        <v>723</v>
      </c>
      <c r="C28" s="342">
        <f>C21+C24+C20</f>
        <v>-14070</v>
      </c>
    </row>
    <row r="29" spans="2:3" ht="12.75">
      <c r="B29" s="431" t="s">
        <v>110</v>
      </c>
      <c r="C29" s="450">
        <f>SUM(C30:C31)</f>
        <v>0</v>
      </c>
    </row>
    <row r="30" spans="2:3" ht="12.75">
      <c r="B30" s="430" t="s">
        <v>749</v>
      </c>
      <c r="C30" s="450"/>
    </row>
    <row r="31" spans="2:3" ht="12.75">
      <c r="B31" s="430" t="s">
        <v>328</v>
      </c>
      <c r="C31" s="450"/>
    </row>
    <row r="32" spans="2:3" ht="12.75">
      <c r="B32" s="431" t="s">
        <v>112</v>
      </c>
      <c r="C32" s="450">
        <f>SUM(C33:C35)</f>
        <v>6</v>
      </c>
    </row>
    <row r="33" spans="2:5" ht="12.75">
      <c r="B33" s="430" t="s">
        <v>332</v>
      </c>
      <c r="C33" s="450"/>
      <c r="E33" s="197" t="s">
        <v>30</v>
      </c>
    </row>
    <row r="34" spans="2:3" ht="12.75">
      <c r="B34" s="430" t="s">
        <v>331</v>
      </c>
      <c r="C34" s="450">
        <v>6</v>
      </c>
    </row>
    <row r="35" spans="2:6" ht="12.75">
      <c r="B35" s="430" t="s">
        <v>328</v>
      </c>
      <c r="C35" s="450"/>
      <c r="D35" s="197" t="s">
        <v>30</v>
      </c>
      <c r="F35" s="197" t="s">
        <v>30</v>
      </c>
    </row>
    <row r="36" spans="2:3" ht="12.75">
      <c r="B36" s="431" t="s">
        <v>750</v>
      </c>
      <c r="C36" s="342">
        <f>C29+C32+C28</f>
        <v>-14064</v>
      </c>
    </row>
    <row r="37" spans="2:3" ht="12.75">
      <c r="B37" s="453"/>
      <c r="C37" s="450"/>
    </row>
    <row r="38" spans="2:3" ht="12.75">
      <c r="B38" s="452" t="s">
        <v>698</v>
      </c>
      <c r="C38" s="342">
        <f>C3+C20</f>
        <v>-1101</v>
      </c>
    </row>
    <row r="39" spans="2:3" ht="12.75">
      <c r="B39" s="452" t="s">
        <v>728</v>
      </c>
      <c r="C39" s="342">
        <f>C11+C28</f>
        <v>-8747</v>
      </c>
    </row>
    <row r="40" spans="2:3" ht="12.75">
      <c r="B40" s="452" t="s">
        <v>751</v>
      </c>
      <c r="C40" s="342">
        <f>C19+C36</f>
        <v>-7105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197" customWidth="1"/>
  </cols>
  <sheetData>
    <row r="1" spans="2:8" ht="15">
      <c r="B1" s="616" t="s">
        <v>593</v>
      </c>
      <c r="C1" s="616"/>
      <c r="D1" s="616"/>
      <c r="E1" s="616"/>
      <c r="F1" s="616"/>
      <c r="G1" s="616"/>
      <c r="H1" s="616"/>
    </row>
    <row r="2" spans="2:8" ht="12.75">
      <c r="B2" s="599" t="s">
        <v>591</v>
      </c>
      <c r="C2" s="602"/>
      <c r="D2" s="602"/>
      <c r="E2" s="602"/>
      <c r="F2" s="602"/>
      <c r="G2" s="600"/>
      <c r="H2" s="344" t="s">
        <v>592</v>
      </c>
    </row>
    <row r="3" spans="2:8" ht="12.75">
      <c r="B3" s="691"/>
      <c r="C3" s="692"/>
      <c r="D3" s="692"/>
      <c r="E3" s="692"/>
      <c r="F3" s="692"/>
      <c r="G3" s="693"/>
      <c r="H3" s="232"/>
    </row>
    <row r="4" spans="2:8" ht="12.75">
      <c r="B4" s="691"/>
      <c r="C4" s="692"/>
      <c r="D4" s="692"/>
      <c r="E4" s="692"/>
      <c r="F4" s="692"/>
      <c r="G4" s="693"/>
      <c r="H4" s="232"/>
    </row>
    <row r="5" spans="2:8" ht="12.75">
      <c r="B5" s="691"/>
      <c r="C5" s="692"/>
      <c r="D5" s="692"/>
      <c r="E5" s="692"/>
      <c r="F5" s="692"/>
      <c r="G5" s="693"/>
      <c r="H5" s="232"/>
    </row>
    <row r="6" spans="2:8" ht="12.75">
      <c r="B6" s="691"/>
      <c r="C6" s="692"/>
      <c r="D6" s="692"/>
      <c r="E6" s="692"/>
      <c r="F6" s="692"/>
      <c r="G6" s="693"/>
      <c r="H6" s="232"/>
    </row>
    <row r="7" spans="2:8" ht="12.75">
      <c r="B7" s="691"/>
      <c r="C7" s="692"/>
      <c r="D7" s="692"/>
      <c r="E7" s="692"/>
      <c r="F7" s="692"/>
      <c r="G7" s="693"/>
      <c r="H7" s="232"/>
    </row>
    <row r="8" spans="2:8" ht="12.75">
      <c r="B8" s="691"/>
      <c r="C8" s="692"/>
      <c r="D8" s="692"/>
      <c r="E8" s="692"/>
      <c r="F8" s="692"/>
      <c r="G8" s="693"/>
      <c r="H8" s="232"/>
    </row>
    <row r="9" spans="2:8" ht="12.75">
      <c r="B9" s="691"/>
      <c r="C9" s="692"/>
      <c r="D9" s="692"/>
      <c r="E9" s="692"/>
      <c r="F9" s="692"/>
      <c r="G9" s="693"/>
      <c r="H9" s="232"/>
    </row>
    <row r="10" spans="2:8" ht="12.75">
      <c r="B10" s="691"/>
      <c r="C10" s="692"/>
      <c r="D10" s="692"/>
      <c r="E10" s="692"/>
      <c r="F10" s="692"/>
      <c r="G10" s="693"/>
      <c r="H10" s="232"/>
    </row>
    <row r="11" spans="2:8" ht="12.75">
      <c r="B11" s="691"/>
      <c r="C11" s="692"/>
      <c r="D11" s="692"/>
      <c r="E11" s="692"/>
      <c r="F11" s="692"/>
      <c r="G11" s="693"/>
      <c r="H11" s="232"/>
    </row>
    <row r="12" spans="2:8" ht="12.75">
      <c r="B12" s="691"/>
      <c r="C12" s="692"/>
      <c r="D12" s="692"/>
      <c r="E12" s="692"/>
      <c r="F12" s="692"/>
      <c r="G12" s="693"/>
      <c r="H12" s="232"/>
    </row>
    <row r="13" spans="2:8" ht="12.75">
      <c r="B13" s="594" t="s">
        <v>85</v>
      </c>
      <c r="C13" s="595"/>
      <c r="D13" s="595"/>
      <c r="E13" s="595"/>
      <c r="F13" s="595"/>
      <c r="G13" s="596"/>
      <c r="H13" s="446">
        <f>SUM(H3:H12)</f>
        <v>0</v>
      </c>
    </row>
  </sheetData>
  <sheetProtection/>
  <mergeCells count="13">
    <mergeCell ref="B7:G7"/>
    <mergeCell ref="B11:G11"/>
    <mergeCell ref="B12:G12"/>
    <mergeCell ref="B1:H1"/>
    <mergeCell ref="B8:G8"/>
    <mergeCell ref="B9:G9"/>
    <mergeCell ref="B10:G10"/>
    <mergeCell ref="B13:G13"/>
    <mergeCell ref="B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96"/>
  <sheetViews>
    <sheetView zoomScalePageLayoutView="0" workbookViewId="0" topLeftCell="A25">
      <selection activeCell="B83" sqref="B83:L83"/>
    </sheetView>
  </sheetViews>
  <sheetFormatPr defaultColWidth="9.140625" defaultRowHeight="12.75"/>
  <cols>
    <col min="1" max="1" width="4.28125" style="197" customWidth="1"/>
    <col min="2" max="6" width="6.28125" style="197" customWidth="1"/>
    <col min="7" max="7" width="6.140625" style="197" customWidth="1"/>
    <col min="8" max="8" width="5.00390625" style="197" customWidth="1"/>
    <col min="9" max="9" width="6.8515625" style="197" customWidth="1"/>
    <col min="10" max="10" width="5.140625" style="197" customWidth="1"/>
    <col min="11" max="11" width="6.140625" style="197" customWidth="1"/>
    <col min="12" max="12" width="5.00390625" style="197" customWidth="1"/>
    <col min="13" max="13" width="6.140625" style="197" customWidth="1"/>
    <col min="14" max="14" width="5.140625" style="197" customWidth="1"/>
    <col min="15" max="16384" width="9.140625" style="197" customWidth="1"/>
  </cols>
  <sheetData>
    <row r="1" spans="2:14" ht="15">
      <c r="B1" s="616" t="s">
        <v>594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</row>
    <row r="2" spans="2:14" ht="12.75">
      <c r="B2" s="604" t="s">
        <v>66</v>
      </c>
      <c r="C2" s="617"/>
      <c r="D2" s="617"/>
      <c r="E2" s="617"/>
      <c r="F2" s="617"/>
      <c r="G2" s="617"/>
      <c r="H2" s="617"/>
      <c r="I2" s="617"/>
      <c r="J2" s="605"/>
      <c r="K2" s="619" t="s">
        <v>742</v>
      </c>
      <c r="L2" s="620"/>
      <c r="M2" s="604" t="s">
        <v>717</v>
      </c>
      <c r="N2" s="605"/>
    </row>
    <row r="3" spans="2:14" ht="12.75">
      <c r="B3" s="606"/>
      <c r="C3" s="618"/>
      <c r="D3" s="618"/>
      <c r="E3" s="618"/>
      <c r="F3" s="618"/>
      <c r="G3" s="618"/>
      <c r="H3" s="618"/>
      <c r="I3" s="618"/>
      <c r="J3" s="607"/>
      <c r="K3" s="621"/>
      <c r="L3" s="622"/>
      <c r="M3" s="606"/>
      <c r="N3" s="607"/>
    </row>
    <row r="4" spans="2:20" ht="12.75">
      <c r="B4" s="608" t="s">
        <v>341</v>
      </c>
      <c r="C4" s="609"/>
      <c r="D4" s="609"/>
      <c r="E4" s="609"/>
      <c r="F4" s="609"/>
      <c r="G4" s="609"/>
      <c r="H4" s="609"/>
      <c r="I4" s="609"/>
      <c r="J4" s="610"/>
      <c r="K4" s="696">
        <v>2298</v>
      </c>
      <c r="L4" s="697"/>
      <c r="M4" s="696">
        <v>2298</v>
      </c>
      <c r="N4" s="697"/>
      <c r="P4" s="582">
        <f>IF(AND(S5="",S7=""),"","Разлика между БАЛАНСА и ПРИЛОЖЕНИЕТО!")</f>
      </c>
      <c r="Q4" s="582"/>
      <c r="R4" s="582"/>
      <c r="S4" s="582"/>
      <c r="T4" s="582"/>
    </row>
    <row r="5" spans="2:20" ht="12.75">
      <c r="B5" s="608" t="s">
        <v>512</v>
      </c>
      <c r="C5" s="609"/>
      <c r="D5" s="609"/>
      <c r="E5" s="609"/>
      <c r="F5" s="609"/>
      <c r="G5" s="609"/>
      <c r="H5" s="609"/>
      <c r="I5" s="609"/>
      <c r="J5" s="610"/>
      <c r="K5" s="696">
        <v>34614</v>
      </c>
      <c r="L5" s="697"/>
      <c r="M5" s="696">
        <v>27820</v>
      </c>
      <c r="N5" s="697"/>
      <c r="P5" s="583">
        <f>IF(S5="","","Разлика текущ период:")</f>
      </c>
      <c r="Q5" s="583"/>
      <c r="R5" s="583"/>
      <c r="S5" s="427">
        <f>IF(K8=баланс!E34,"",K8-баланс!E34)</f>
      </c>
      <c r="T5" s="426"/>
    </row>
    <row r="6" spans="2:20" ht="12.75">
      <c r="B6" s="608" t="s">
        <v>340</v>
      </c>
      <c r="C6" s="609"/>
      <c r="D6" s="609"/>
      <c r="E6" s="609"/>
      <c r="F6" s="609"/>
      <c r="G6" s="609"/>
      <c r="H6" s="609"/>
      <c r="I6" s="609"/>
      <c r="J6" s="610"/>
      <c r="K6" s="696"/>
      <c r="L6" s="697"/>
      <c r="M6" s="696"/>
      <c r="N6" s="697"/>
      <c r="P6" s="584">
        <f>IF(S5="","","Сума по баланс:")</f>
      </c>
      <c r="Q6" s="584"/>
      <c r="R6" s="584"/>
      <c r="S6" s="428">
        <f>IF(S5="","",баланс!E34)</f>
      </c>
      <c r="T6" s="426"/>
    </row>
    <row r="7" spans="2:20" ht="12.75">
      <c r="B7" s="608" t="s">
        <v>513</v>
      </c>
      <c r="C7" s="609"/>
      <c r="D7" s="609"/>
      <c r="E7" s="609"/>
      <c r="F7" s="609"/>
      <c r="G7" s="609"/>
      <c r="H7" s="609"/>
      <c r="I7" s="609"/>
      <c r="J7" s="610"/>
      <c r="K7" s="696"/>
      <c r="L7" s="697"/>
      <c r="M7" s="696"/>
      <c r="N7" s="697"/>
      <c r="P7" s="583">
        <f>IF(S7="","","Разлика предходен период:")</f>
      </c>
      <c r="Q7" s="583"/>
      <c r="R7" s="583"/>
      <c r="S7" s="427">
        <f>IF(M8=баланс!G34,"",M8-баланс!G34)</f>
      </c>
      <c r="T7" s="426"/>
    </row>
    <row r="8" spans="2:20" ht="12.75">
      <c r="B8" s="594" t="s">
        <v>85</v>
      </c>
      <c r="C8" s="595"/>
      <c r="D8" s="595"/>
      <c r="E8" s="595"/>
      <c r="F8" s="595"/>
      <c r="G8" s="595"/>
      <c r="H8" s="595"/>
      <c r="I8" s="595"/>
      <c r="J8" s="596"/>
      <c r="K8" s="614">
        <f>SUM(K4:L7)</f>
        <v>36912</v>
      </c>
      <c r="L8" s="615"/>
      <c r="M8" s="614">
        <f>SUM(M4:N7)</f>
        <v>30118</v>
      </c>
      <c r="N8" s="615"/>
      <c r="P8" s="584">
        <f>IF(S7="","","Сума по баланс:")</f>
      </c>
      <c r="Q8" s="584"/>
      <c r="R8" s="584"/>
      <c r="S8" s="428">
        <f>IF(S7="","",баланс!G34)</f>
      </c>
      <c r="T8" s="426"/>
    </row>
    <row r="9" spans="2:14" ht="15">
      <c r="B9" s="593" t="s">
        <v>507</v>
      </c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</row>
    <row r="10" spans="2:20" ht="12.75">
      <c r="B10" s="629" t="s">
        <v>227</v>
      </c>
      <c r="C10" s="629"/>
      <c r="D10" s="629"/>
      <c r="E10" s="629"/>
      <c r="F10" s="629"/>
      <c r="G10" s="629"/>
      <c r="H10" s="629"/>
      <c r="I10" s="629"/>
      <c r="J10" s="629"/>
      <c r="K10" s="630" t="str">
        <f>K2</f>
        <v>31.12.2016 г.</v>
      </c>
      <c r="L10" s="629"/>
      <c r="M10" s="694" t="str">
        <f>M2</f>
        <v>31.12.2015г.</v>
      </c>
      <c r="N10" s="695"/>
      <c r="P10" s="582">
        <f>IF(AND(S11="",S13=""),"","Разлика между СПРАВКАТА и ПРИЛОЖЕНИЕ №1!")</f>
      </c>
      <c r="Q10" s="582"/>
      <c r="R10" s="582"/>
      <c r="S10" s="582"/>
      <c r="T10" s="582"/>
    </row>
    <row r="11" spans="2:20" ht="12.75">
      <c r="B11" s="635" t="s">
        <v>514</v>
      </c>
      <c r="C11" s="635"/>
      <c r="D11" s="635"/>
      <c r="E11" s="635"/>
      <c r="F11" s="635"/>
      <c r="G11" s="635"/>
      <c r="H11" s="635"/>
      <c r="I11" s="635"/>
      <c r="J11" s="635"/>
      <c r="K11" s="626"/>
      <c r="L11" s="626"/>
      <c r="M11" s="626"/>
      <c r="N11" s="626"/>
      <c r="P11" s="583">
        <f>IF(S11="","","Разлика текущ период:")</f>
      </c>
      <c r="Q11" s="583"/>
      <c r="R11" s="583"/>
      <c r="S11" s="427">
        <f>IF(K14=K5,"",K14-K5)</f>
      </c>
      <c r="T11" s="426"/>
    </row>
    <row r="12" spans="2:20" ht="12.75">
      <c r="B12" s="635" t="s">
        <v>543</v>
      </c>
      <c r="C12" s="635"/>
      <c r="D12" s="635"/>
      <c r="E12" s="635"/>
      <c r="F12" s="635"/>
      <c r="G12" s="635"/>
      <c r="H12" s="635"/>
      <c r="I12" s="635"/>
      <c r="J12" s="635"/>
      <c r="K12" s="626">
        <v>34614</v>
      </c>
      <c r="L12" s="626"/>
      <c r="M12" s="626">
        <v>27820</v>
      </c>
      <c r="N12" s="626"/>
      <c r="P12" s="584">
        <f>IF(S11="","","Сума по приложение №1:")</f>
      </c>
      <c r="Q12" s="584"/>
      <c r="R12" s="584"/>
      <c r="S12" s="428">
        <f>IF(K14=K5,"",K5)</f>
      </c>
      <c r="T12" s="426"/>
    </row>
    <row r="13" spans="2:20" ht="12.75">
      <c r="B13" s="608" t="s">
        <v>544</v>
      </c>
      <c r="C13" s="609"/>
      <c r="D13" s="609"/>
      <c r="E13" s="609"/>
      <c r="F13" s="609"/>
      <c r="G13" s="609"/>
      <c r="H13" s="609"/>
      <c r="I13" s="609"/>
      <c r="J13" s="610"/>
      <c r="K13" s="626"/>
      <c r="L13" s="626"/>
      <c r="M13" s="626"/>
      <c r="N13" s="626"/>
      <c r="P13" s="583">
        <f>IF(S13="","","Разлика предходен период:")</f>
      </c>
      <c r="Q13" s="583"/>
      <c r="R13" s="583"/>
      <c r="S13" s="427">
        <f>IF(M14=M5,"",M14-M5)</f>
      </c>
      <c r="T13" s="426"/>
    </row>
    <row r="14" spans="2:20" ht="12.75">
      <c r="B14" s="623" t="s">
        <v>85</v>
      </c>
      <c r="C14" s="623"/>
      <c r="D14" s="623"/>
      <c r="E14" s="623"/>
      <c r="F14" s="623"/>
      <c r="G14" s="623"/>
      <c r="H14" s="623"/>
      <c r="I14" s="623"/>
      <c r="J14" s="623"/>
      <c r="K14" s="631">
        <f>SUM(K11:L13)</f>
        <v>34614</v>
      </c>
      <c r="L14" s="631"/>
      <c r="M14" s="631">
        <f>SUM(M11:N13)</f>
        <v>27820</v>
      </c>
      <c r="N14" s="631"/>
      <c r="P14" s="584">
        <f>IF(S13="","","Сума по приложение №1:")</f>
      </c>
      <c r="Q14" s="584"/>
      <c r="R14" s="584"/>
      <c r="S14" s="428">
        <f>IF(M14=M5,"",M5)</f>
      </c>
      <c r="T14" s="426"/>
    </row>
    <row r="15" spans="2:14" ht="15">
      <c r="B15" s="593" t="s">
        <v>506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</row>
    <row r="16" spans="2:14" ht="12.75">
      <c r="B16" s="629" t="s">
        <v>227</v>
      </c>
      <c r="C16" s="629"/>
      <c r="D16" s="629"/>
      <c r="E16" s="629"/>
      <c r="F16" s="629"/>
      <c r="G16" s="629"/>
      <c r="H16" s="629"/>
      <c r="I16" s="629"/>
      <c r="J16" s="629"/>
      <c r="K16" s="630" t="str">
        <f>K2</f>
        <v>31.12.2016 г.</v>
      </c>
      <c r="L16" s="629"/>
      <c r="M16" s="630" t="str">
        <f>M2</f>
        <v>31.12.2015г.</v>
      </c>
      <c r="N16" s="629"/>
    </row>
    <row r="17" spans="2:14" ht="12.75">
      <c r="B17" s="635" t="s">
        <v>515</v>
      </c>
      <c r="C17" s="635"/>
      <c r="D17" s="635"/>
      <c r="E17" s="635"/>
      <c r="F17" s="635"/>
      <c r="G17" s="635"/>
      <c r="H17" s="635"/>
      <c r="I17" s="635"/>
      <c r="J17" s="635"/>
      <c r="K17" s="626"/>
      <c r="L17" s="626"/>
      <c r="M17" s="626"/>
      <c r="N17" s="626"/>
    </row>
    <row r="18" spans="2:14" ht="12.75">
      <c r="B18" s="608" t="s">
        <v>340</v>
      </c>
      <c r="C18" s="609"/>
      <c r="D18" s="609"/>
      <c r="E18" s="609"/>
      <c r="F18" s="609"/>
      <c r="G18" s="609"/>
      <c r="H18" s="609"/>
      <c r="I18" s="609"/>
      <c r="J18" s="610"/>
      <c r="K18" s="626">
        <v>21</v>
      </c>
      <c r="L18" s="626"/>
      <c r="M18" s="626">
        <v>47</v>
      </c>
      <c r="N18" s="626"/>
    </row>
    <row r="19" spans="2:14" ht="12.75">
      <c r="B19" s="623" t="s">
        <v>85</v>
      </c>
      <c r="C19" s="623"/>
      <c r="D19" s="623"/>
      <c r="E19" s="623"/>
      <c r="F19" s="623"/>
      <c r="G19" s="623"/>
      <c r="H19" s="623"/>
      <c r="I19" s="623"/>
      <c r="J19" s="623"/>
      <c r="K19" s="631">
        <f>SUM(K17:L18)</f>
        <v>21</v>
      </c>
      <c r="L19" s="631"/>
      <c r="M19" s="631">
        <f>SUM(M17:N18)</f>
        <v>47</v>
      </c>
      <c r="N19" s="631"/>
    </row>
    <row r="20" spans="2:14" ht="15">
      <c r="B20" s="593" t="s">
        <v>516</v>
      </c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</row>
    <row r="21" spans="2:20" ht="12.75">
      <c r="B21" s="629" t="s">
        <v>227</v>
      </c>
      <c r="C21" s="629"/>
      <c r="D21" s="629"/>
      <c r="E21" s="629"/>
      <c r="F21" s="629"/>
      <c r="G21" s="629"/>
      <c r="H21" s="629"/>
      <c r="I21" s="629"/>
      <c r="J21" s="629"/>
      <c r="K21" s="630" t="str">
        <f>K2</f>
        <v>31.12.2016 г.</v>
      </c>
      <c r="L21" s="629"/>
      <c r="M21" s="630" t="str">
        <f>M2</f>
        <v>31.12.2015г.</v>
      </c>
      <c r="N21" s="629"/>
      <c r="P21" s="582">
        <f>IF(AND(S22="",S24=""),"","Разлика между СПРАВКАТА и ПРИЛОЖЕНИЕ №1!")</f>
      </c>
      <c r="Q21" s="582"/>
      <c r="R21" s="582"/>
      <c r="S21" s="582"/>
      <c r="T21" s="582"/>
    </row>
    <row r="22" spans="2:20" ht="12.75">
      <c r="B22" s="608" t="s">
        <v>517</v>
      </c>
      <c r="C22" s="609"/>
      <c r="D22" s="609"/>
      <c r="E22" s="609"/>
      <c r="F22" s="609"/>
      <c r="G22" s="609"/>
      <c r="H22" s="609"/>
      <c r="I22" s="609"/>
      <c r="J22" s="610"/>
      <c r="K22" s="626"/>
      <c r="L22" s="626"/>
      <c r="M22" s="626"/>
      <c r="N22" s="626"/>
      <c r="P22" s="583">
        <f>IF(S22="","","Разлика текущ период:")</f>
      </c>
      <c r="Q22" s="583"/>
      <c r="R22" s="583"/>
      <c r="S22" s="427">
        <f>IF(K25=K7,"",K25-K7)</f>
      </c>
      <c r="T22" s="426"/>
    </row>
    <row r="23" spans="2:20" ht="12.75">
      <c r="B23" s="608" t="s">
        <v>517</v>
      </c>
      <c r="C23" s="609"/>
      <c r="D23" s="609"/>
      <c r="E23" s="609"/>
      <c r="F23" s="609"/>
      <c r="G23" s="609"/>
      <c r="H23" s="609"/>
      <c r="I23" s="609"/>
      <c r="J23" s="610"/>
      <c r="K23" s="626"/>
      <c r="L23" s="626"/>
      <c r="M23" s="626"/>
      <c r="N23" s="626"/>
      <c r="P23" s="584">
        <f>IF(S22="","","Сума по приложение №1:")</f>
      </c>
      <c r="Q23" s="584"/>
      <c r="R23" s="584"/>
      <c r="S23" s="428">
        <f>IF(K25=K7,"",K7)</f>
      </c>
      <c r="T23" s="426"/>
    </row>
    <row r="24" spans="2:20" ht="12.75">
      <c r="B24" s="608" t="s">
        <v>517</v>
      </c>
      <c r="C24" s="609"/>
      <c r="D24" s="609"/>
      <c r="E24" s="609"/>
      <c r="F24" s="609"/>
      <c r="G24" s="609"/>
      <c r="H24" s="609"/>
      <c r="I24" s="609"/>
      <c r="J24" s="610"/>
      <c r="K24" s="626"/>
      <c r="L24" s="626"/>
      <c r="M24" s="626"/>
      <c r="N24" s="626"/>
      <c r="P24" s="583">
        <f>IF(S24="","","Разлика предходен период:")</f>
      </c>
      <c r="Q24" s="583"/>
      <c r="R24" s="583"/>
      <c r="S24" s="427">
        <f>IF(M25=M7,"",M25-M7)</f>
      </c>
      <c r="T24" s="426"/>
    </row>
    <row r="25" spans="2:20" ht="12.75">
      <c r="B25" s="623" t="s">
        <v>85</v>
      </c>
      <c r="C25" s="623"/>
      <c r="D25" s="623"/>
      <c r="E25" s="623"/>
      <c r="F25" s="623"/>
      <c r="G25" s="623"/>
      <c r="H25" s="623"/>
      <c r="I25" s="623"/>
      <c r="J25" s="623"/>
      <c r="K25" s="631">
        <f>SUM(K22:L24)</f>
        <v>0</v>
      </c>
      <c r="L25" s="631"/>
      <c r="M25" s="631">
        <f>SUM(M22:N24)</f>
        <v>0</v>
      </c>
      <c r="N25" s="631"/>
      <c r="P25" s="584">
        <f>IF(S24="","","Сума по приложение №1:")</f>
      </c>
      <c r="Q25" s="584"/>
      <c r="R25" s="584"/>
      <c r="S25" s="428">
        <f>IF(M25=M7,"",M7)</f>
      </c>
      <c r="T25" s="426"/>
    </row>
    <row r="26" spans="2:14" ht="13.5" thickBot="1"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</row>
    <row r="28" spans="2:14" ht="15">
      <c r="B28" s="624" t="s">
        <v>595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</row>
    <row r="29" spans="2:14" ht="12.75">
      <c r="B29" s="604" t="s">
        <v>68</v>
      </c>
      <c r="C29" s="617"/>
      <c r="D29" s="617"/>
      <c r="E29" s="617"/>
      <c r="F29" s="617"/>
      <c r="G29" s="617"/>
      <c r="H29" s="617"/>
      <c r="I29" s="617"/>
      <c r="J29" s="605"/>
      <c r="K29" s="619" t="str">
        <f>K2</f>
        <v>31.12.2016 г.</v>
      </c>
      <c r="L29" s="620"/>
      <c r="M29" s="619" t="str">
        <f>M2</f>
        <v>31.12.2015г.</v>
      </c>
      <c r="N29" s="620"/>
    </row>
    <row r="30" spans="2:14" ht="12.75">
      <c r="B30" s="606"/>
      <c r="C30" s="618"/>
      <c r="D30" s="618"/>
      <c r="E30" s="618"/>
      <c r="F30" s="618"/>
      <c r="G30" s="618"/>
      <c r="H30" s="618"/>
      <c r="I30" s="618"/>
      <c r="J30" s="607"/>
      <c r="K30" s="621"/>
      <c r="L30" s="622"/>
      <c r="M30" s="621"/>
      <c r="N30" s="622"/>
    </row>
    <row r="31" spans="2:20" ht="12.75">
      <c r="B31" s="608" t="s">
        <v>341</v>
      </c>
      <c r="C31" s="609"/>
      <c r="D31" s="609"/>
      <c r="E31" s="609"/>
      <c r="F31" s="609"/>
      <c r="G31" s="609"/>
      <c r="H31" s="609"/>
      <c r="I31" s="609"/>
      <c r="J31" s="610"/>
      <c r="K31" s="626"/>
      <c r="L31" s="626"/>
      <c r="M31" s="626"/>
      <c r="N31" s="626"/>
      <c r="P31" s="582" t="e">
        <f>IF(AND(S32="",S34=""),"","Разлика между БАЛАНСА и ПРИЛОЖЕНИЕТО!")</f>
        <v>#REF!</v>
      </c>
      <c r="Q31" s="582"/>
      <c r="R31" s="582"/>
      <c r="S31" s="582"/>
      <c r="T31" s="582"/>
    </row>
    <row r="32" spans="2:20" ht="12.75">
      <c r="B32" s="608" t="s">
        <v>512</v>
      </c>
      <c r="C32" s="609"/>
      <c r="D32" s="609"/>
      <c r="E32" s="609"/>
      <c r="F32" s="609"/>
      <c r="G32" s="609"/>
      <c r="H32" s="609"/>
      <c r="I32" s="609"/>
      <c r="J32" s="610"/>
      <c r="K32" s="626"/>
      <c r="L32" s="626"/>
      <c r="M32" s="626"/>
      <c r="N32" s="626"/>
      <c r="P32" s="583" t="e">
        <f>IF(S32="","","Разлика текущ период:")</f>
        <v>#REF!</v>
      </c>
      <c r="Q32" s="583"/>
      <c r="R32" s="583"/>
      <c r="S32" s="427" t="e">
        <f>IF(K35=баланс!#REF!,"",K35-баланс!#REF!)</f>
        <v>#REF!</v>
      </c>
      <c r="T32" s="426"/>
    </row>
    <row r="33" spans="2:20" ht="12.75">
      <c r="B33" s="608" t="s">
        <v>340</v>
      </c>
      <c r="C33" s="609"/>
      <c r="D33" s="609"/>
      <c r="E33" s="609"/>
      <c r="F33" s="609"/>
      <c r="G33" s="609"/>
      <c r="H33" s="609"/>
      <c r="I33" s="609"/>
      <c r="J33" s="610"/>
      <c r="K33" s="626"/>
      <c r="L33" s="626"/>
      <c r="M33" s="626"/>
      <c r="N33" s="626"/>
      <c r="P33" s="584" t="e">
        <f>IF(S32="","","Сума по баланс:")</f>
        <v>#REF!</v>
      </c>
      <c r="Q33" s="584"/>
      <c r="R33" s="584"/>
      <c r="S33" s="428" t="e">
        <f>IF(S32="","",баланс!#REF!)</f>
        <v>#REF!</v>
      </c>
      <c r="T33" s="426"/>
    </row>
    <row r="34" spans="2:20" ht="12.75">
      <c r="B34" s="608" t="s">
        <v>513</v>
      </c>
      <c r="C34" s="609"/>
      <c r="D34" s="609"/>
      <c r="E34" s="609"/>
      <c r="F34" s="609"/>
      <c r="G34" s="609"/>
      <c r="H34" s="609"/>
      <c r="I34" s="609"/>
      <c r="J34" s="610"/>
      <c r="K34" s="626"/>
      <c r="L34" s="626"/>
      <c r="M34" s="626"/>
      <c r="N34" s="626"/>
      <c r="P34" s="583" t="e">
        <f>IF(S34="","","Разлика предходен период:")</f>
        <v>#REF!</v>
      </c>
      <c r="Q34" s="583"/>
      <c r="R34" s="583"/>
      <c r="S34" s="427" t="e">
        <f>IF(M35=баланс!#REF!,"",M35-баланс!#REF!)</f>
        <v>#REF!</v>
      </c>
      <c r="T34" s="426"/>
    </row>
    <row r="35" spans="2:20" ht="12.75">
      <c r="B35" s="594" t="s">
        <v>85</v>
      </c>
      <c r="C35" s="595"/>
      <c r="D35" s="595"/>
      <c r="E35" s="595"/>
      <c r="F35" s="595"/>
      <c r="G35" s="595"/>
      <c r="H35" s="595"/>
      <c r="I35" s="595"/>
      <c r="J35" s="596"/>
      <c r="K35" s="614">
        <f>SUM(K31:L34)</f>
        <v>0</v>
      </c>
      <c r="L35" s="615"/>
      <c r="M35" s="614">
        <f>SUM(M31:N34)</f>
        <v>0</v>
      </c>
      <c r="N35" s="615"/>
      <c r="P35" s="584" t="e">
        <f>IF(S34="","","Сума по баланс:")</f>
        <v>#REF!</v>
      </c>
      <c r="Q35" s="584"/>
      <c r="R35" s="584"/>
      <c r="S35" s="428" t="e">
        <f>IF(S34="","",баланс!#REF!)</f>
        <v>#REF!</v>
      </c>
      <c r="T35" s="426"/>
    </row>
    <row r="36" spans="2:14" ht="15">
      <c r="B36" s="593" t="s">
        <v>509</v>
      </c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</row>
    <row r="37" spans="2:20" ht="12.75">
      <c r="B37" s="629" t="s">
        <v>227</v>
      </c>
      <c r="C37" s="629"/>
      <c r="D37" s="629"/>
      <c r="E37" s="629"/>
      <c r="F37" s="629"/>
      <c r="G37" s="629"/>
      <c r="H37" s="629"/>
      <c r="I37" s="629"/>
      <c r="J37" s="629"/>
      <c r="K37" s="630" t="str">
        <f>K29</f>
        <v>31.12.2016 г.</v>
      </c>
      <c r="L37" s="629"/>
      <c r="M37" s="630" t="str">
        <f>M29</f>
        <v>31.12.2015г.</v>
      </c>
      <c r="N37" s="629"/>
      <c r="P37" s="582">
        <f>IF(AND(S38="",S40=""),"","Разлика между СПРАВКАТА и ПРИЛОЖЕНИЕ №2!")</f>
      </c>
      <c r="Q37" s="582"/>
      <c r="R37" s="582"/>
      <c r="S37" s="582"/>
      <c r="T37" s="582"/>
    </row>
    <row r="38" spans="2:20" ht="12.75">
      <c r="B38" s="635" t="s">
        <v>514</v>
      </c>
      <c r="C38" s="635"/>
      <c r="D38" s="635"/>
      <c r="E38" s="635"/>
      <c r="F38" s="635"/>
      <c r="G38" s="635"/>
      <c r="H38" s="635"/>
      <c r="I38" s="635"/>
      <c r="J38" s="635"/>
      <c r="K38" s="626"/>
      <c r="L38" s="626"/>
      <c r="M38" s="626"/>
      <c r="N38" s="626"/>
      <c r="P38" s="583">
        <f>IF(S38="","","Разлика текущ период:")</f>
      </c>
      <c r="Q38" s="583"/>
      <c r="R38" s="583"/>
      <c r="S38" s="427">
        <f>IF(K41=K32,"",K41-K32)</f>
      </c>
      <c r="T38" s="426"/>
    </row>
    <row r="39" spans="2:20" ht="12.75">
      <c r="B39" s="635" t="s">
        <v>543</v>
      </c>
      <c r="C39" s="635"/>
      <c r="D39" s="635"/>
      <c r="E39" s="635"/>
      <c r="F39" s="635"/>
      <c r="G39" s="635"/>
      <c r="H39" s="635"/>
      <c r="I39" s="635"/>
      <c r="J39" s="635"/>
      <c r="K39" s="626"/>
      <c r="L39" s="626"/>
      <c r="M39" s="626"/>
      <c r="N39" s="626"/>
      <c r="P39" s="584">
        <f>IF(S38="","","Сума по приложение №2:")</f>
      </c>
      <c r="Q39" s="584"/>
      <c r="R39" s="584"/>
      <c r="S39" s="428">
        <f>IF(K41=K32,"",K32)</f>
      </c>
      <c r="T39" s="426"/>
    </row>
    <row r="40" spans="2:20" ht="12.75">
      <c r="B40" s="608" t="s">
        <v>544</v>
      </c>
      <c r="C40" s="609"/>
      <c r="D40" s="609"/>
      <c r="E40" s="609"/>
      <c r="F40" s="609"/>
      <c r="G40" s="609"/>
      <c r="H40" s="609"/>
      <c r="I40" s="609"/>
      <c r="J40" s="610"/>
      <c r="K40" s="626"/>
      <c r="L40" s="626"/>
      <c r="M40" s="626"/>
      <c r="N40" s="626"/>
      <c r="P40" s="583">
        <f>IF(S40="","","Разлика предходен период:")</f>
      </c>
      <c r="Q40" s="583"/>
      <c r="R40" s="583"/>
      <c r="S40" s="427">
        <f>IF(M41=M32,"",M41-M32)</f>
      </c>
      <c r="T40" s="426"/>
    </row>
    <row r="41" spans="2:20" ht="12.75">
      <c r="B41" s="623" t="s">
        <v>85</v>
      </c>
      <c r="C41" s="623"/>
      <c r="D41" s="623"/>
      <c r="E41" s="623"/>
      <c r="F41" s="623"/>
      <c r="G41" s="623"/>
      <c r="H41" s="623"/>
      <c r="I41" s="623"/>
      <c r="J41" s="623"/>
      <c r="K41" s="631">
        <f>SUM(K38:L40)</f>
        <v>0</v>
      </c>
      <c r="L41" s="631"/>
      <c r="M41" s="631">
        <f>SUM(M38:N40)</f>
        <v>0</v>
      </c>
      <c r="N41" s="631"/>
      <c r="P41" s="584">
        <f>IF(S40="","","Сума по приложение №2:")</f>
      </c>
      <c r="Q41" s="584"/>
      <c r="R41" s="584"/>
      <c r="S41" s="428">
        <f>IF(M41=M32,"",M32)</f>
      </c>
      <c r="T41" s="426"/>
    </row>
    <row r="42" spans="2:14" ht="15">
      <c r="B42" s="593" t="s">
        <v>510</v>
      </c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</row>
    <row r="43" spans="2:14" ht="12.75">
      <c r="B43" s="629" t="s">
        <v>227</v>
      </c>
      <c r="C43" s="629"/>
      <c r="D43" s="629"/>
      <c r="E43" s="629"/>
      <c r="F43" s="629"/>
      <c r="G43" s="629"/>
      <c r="H43" s="629"/>
      <c r="I43" s="629"/>
      <c r="J43" s="629"/>
      <c r="K43" s="630" t="str">
        <f>K29</f>
        <v>31.12.2016 г.</v>
      </c>
      <c r="L43" s="629"/>
      <c r="M43" s="630" t="str">
        <f>M29</f>
        <v>31.12.2015г.</v>
      </c>
      <c r="N43" s="629"/>
    </row>
    <row r="44" spans="2:14" ht="12.75">
      <c r="B44" s="635" t="s">
        <v>515</v>
      </c>
      <c r="C44" s="635"/>
      <c r="D44" s="635"/>
      <c r="E44" s="635"/>
      <c r="F44" s="635"/>
      <c r="G44" s="635"/>
      <c r="H44" s="635"/>
      <c r="I44" s="635"/>
      <c r="J44" s="635"/>
      <c r="K44" s="626"/>
      <c r="L44" s="626"/>
      <c r="M44" s="626"/>
      <c r="N44" s="626"/>
    </row>
    <row r="45" spans="2:14" ht="12.75">
      <c r="B45" s="608" t="s">
        <v>340</v>
      </c>
      <c r="C45" s="609"/>
      <c r="D45" s="609"/>
      <c r="E45" s="609"/>
      <c r="F45" s="609"/>
      <c r="G45" s="609"/>
      <c r="H45" s="609"/>
      <c r="I45" s="609"/>
      <c r="J45" s="610"/>
      <c r="K45" s="626"/>
      <c r="L45" s="626"/>
      <c r="M45" s="626"/>
      <c r="N45" s="626"/>
    </row>
    <row r="46" spans="2:14" ht="12.75">
      <c r="B46" s="623" t="s">
        <v>85</v>
      </c>
      <c r="C46" s="623"/>
      <c r="D46" s="623"/>
      <c r="E46" s="623"/>
      <c r="F46" s="623"/>
      <c r="G46" s="623"/>
      <c r="H46" s="623"/>
      <c r="I46" s="623"/>
      <c r="J46" s="623"/>
      <c r="K46" s="631">
        <f>SUM(K44:L45)</f>
        <v>0</v>
      </c>
      <c r="L46" s="631"/>
      <c r="M46" s="631">
        <f>SUM(M44:N45)</f>
        <v>0</v>
      </c>
      <c r="N46" s="631"/>
    </row>
    <row r="47" spans="2:14" ht="15">
      <c r="B47" s="593" t="s">
        <v>518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</row>
    <row r="48" spans="2:20" ht="12.75">
      <c r="B48" s="629" t="s">
        <v>227</v>
      </c>
      <c r="C48" s="629"/>
      <c r="D48" s="629"/>
      <c r="E48" s="629"/>
      <c r="F48" s="629"/>
      <c r="G48" s="629"/>
      <c r="H48" s="629"/>
      <c r="I48" s="629"/>
      <c r="J48" s="629"/>
      <c r="K48" s="630" t="str">
        <f>K29</f>
        <v>31.12.2016 г.</v>
      </c>
      <c r="L48" s="629"/>
      <c r="M48" s="630" t="str">
        <f>M29</f>
        <v>31.12.2015г.</v>
      </c>
      <c r="N48" s="629"/>
      <c r="P48" s="582">
        <f>IF(AND(S49="",S51=""),"","Разлика между СПРАВКАТА и ПРИЛОЖЕНИЕ №2!")</f>
      </c>
      <c r="Q48" s="582"/>
      <c r="R48" s="582"/>
      <c r="S48" s="582"/>
      <c r="T48" s="582"/>
    </row>
    <row r="49" spans="2:20" ht="12.75">
      <c r="B49" s="608" t="s">
        <v>517</v>
      </c>
      <c r="C49" s="609"/>
      <c r="D49" s="609"/>
      <c r="E49" s="609"/>
      <c r="F49" s="609"/>
      <c r="G49" s="609"/>
      <c r="H49" s="609"/>
      <c r="I49" s="609"/>
      <c r="J49" s="610"/>
      <c r="K49" s="626"/>
      <c r="L49" s="626"/>
      <c r="M49" s="626"/>
      <c r="N49" s="626"/>
      <c r="P49" s="583">
        <f>IF(S49="","","Разлика текущ период:")</f>
      </c>
      <c r="Q49" s="583"/>
      <c r="R49" s="583"/>
      <c r="S49" s="427">
        <f>IF(K52=K34,"",K52-K34)</f>
      </c>
      <c r="T49" s="426"/>
    </row>
    <row r="50" spans="2:20" ht="12.75">
      <c r="B50" s="608" t="s">
        <v>517</v>
      </c>
      <c r="C50" s="609"/>
      <c r="D50" s="609"/>
      <c r="E50" s="609"/>
      <c r="F50" s="609"/>
      <c r="G50" s="609"/>
      <c r="H50" s="609"/>
      <c r="I50" s="609"/>
      <c r="J50" s="610"/>
      <c r="K50" s="626"/>
      <c r="L50" s="626"/>
      <c r="M50" s="626"/>
      <c r="N50" s="626"/>
      <c r="P50" s="584">
        <f>IF(S49="","","Сума по приложение №2:")</f>
      </c>
      <c r="Q50" s="584"/>
      <c r="R50" s="584"/>
      <c r="S50" s="428">
        <f>IF(K52=K34,"",K34)</f>
      </c>
      <c r="T50" s="426"/>
    </row>
    <row r="51" spans="2:20" ht="12.75">
      <c r="B51" s="608" t="s">
        <v>517</v>
      </c>
      <c r="C51" s="609"/>
      <c r="D51" s="609"/>
      <c r="E51" s="609"/>
      <c r="F51" s="609"/>
      <c r="G51" s="609"/>
      <c r="H51" s="609"/>
      <c r="I51" s="609"/>
      <c r="J51" s="610"/>
      <c r="K51" s="626"/>
      <c r="L51" s="626"/>
      <c r="M51" s="626"/>
      <c r="N51" s="626"/>
      <c r="P51" s="583">
        <f>IF(S51="","","Разлика предходен период:")</f>
      </c>
      <c r="Q51" s="583"/>
      <c r="R51" s="583"/>
      <c r="S51" s="427">
        <f>IF(M52=M34,"",M52-M34)</f>
      </c>
      <c r="T51" s="426"/>
    </row>
    <row r="52" spans="2:20" ht="12.75">
      <c r="B52" s="623" t="s">
        <v>85</v>
      </c>
      <c r="C52" s="623"/>
      <c r="D52" s="623"/>
      <c r="E52" s="623"/>
      <c r="F52" s="623"/>
      <c r="G52" s="623"/>
      <c r="H52" s="623"/>
      <c r="I52" s="623"/>
      <c r="J52" s="623"/>
      <c r="K52" s="631">
        <f>SUM(K49:L51)</f>
        <v>0</v>
      </c>
      <c r="L52" s="631"/>
      <c r="M52" s="631">
        <f>SUM(M49:N51)</f>
        <v>0</v>
      </c>
      <c r="N52" s="631"/>
      <c r="P52" s="584">
        <f>IF(S51="","","Сума по приложение №2:")</f>
      </c>
      <c r="Q52" s="584"/>
      <c r="R52" s="584"/>
      <c r="S52" s="428">
        <f>IF(M52=M34,"",M34)</f>
      </c>
      <c r="T52" s="426"/>
    </row>
    <row r="53" spans="2:14" ht="13.5" thickBot="1">
      <c r="B53" s="701"/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</row>
    <row r="54" spans="2:14" ht="12.75">
      <c r="B54" s="381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2:14" ht="15">
      <c r="B55" s="624" t="s">
        <v>560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</row>
    <row r="56" spans="2:14" ht="12.75">
      <c r="B56" s="629" t="s">
        <v>530</v>
      </c>
      <c r="C56" s="629"/>
      <c r="D56" s="629"/>
      <c r="E56" s="629"/>
      <c r="F56" s="629"/>
      <c r="G56" s="388" t="s">
        <v>524</v>
      </c>
      <c r="H56" s="388" t="s">
        <v>527</v>
      </c>
      <c r="I56" s="388" t="s">
        <v>525</v>
      </c>
      <c r="J56" s="629" t="s">
        <v>526</v>
      </c>
      <c r="K56" s="629"/>
      <c r="L56" s="629"/>
      <c r="M56" s="629"/>
      <c r="N56" s="629"/>
    </row>
    <row r="57" spans="2:14" ht="12.75" customHeight="1">
      <c r="B57" s="639" t="s">
        <v>622</v>
      </c>
      <c r="C57" s="639"/>
      <c r="D57" s="639"/>
      <c r="E57" s="639"/>
      <c r="F57" s="639"/>
      <c r="G57" s="238" t="s">
        <v>623</v>
      </c>
      <c r="H57" s="389"/>
      <c r="I57" s="238">
        <v>8.2024</v>
      </c>
      <c r="J57" s="639" t="s">
        <v>624</v>
      </c>
      <c r="K57" s="639"/>
      <c r="L57" s="639"/>
      <c r="M57" s="639"/>
      <c r="N57" s="639"/>
    </row>
    <row r="58" spans="2:14" ht="12.75" customHeight="1">
      <c r="B58" s="639" t="s">
        <v>622</v>
      </c>
      <c r="C58" s="639"/>
      <c r="D58" s="639"/>
      <c r="E58" s="639"/>
      <c r="F58" s="639"/>
      <c r="G58" s="238" t="s">
        <v>623</v>
      </c>
      <c r="H58" s="389"/>
      <c r="I58" s="238">
        <v>8.2024</v>
      </c>
      <c r="J58" s="639" t="s">
        <v>625</v>
      </c>
      <c r="K58" s="639"/>
      <c r="L58" s="639"/>
      <c r="M58" s="639"/>
      <c r="N58" s="639"/>
    </row>
    <row r="59" spans="2:14" ht="12.75" customHeight="1">
      <c r="B59" s="639" t="s">
        <v>622</v>
      </c>
      <c r="C59" s="639"/>
      <c r="D59" s="639"/>
      <c r="E59" s="639"/>
      <c r="F59" s="639"/>
      <c r="G59" s="238" t="s">
        <v>640</v>
      </c>
      <c r="H59" s="389"/>
      <c r="I59" s="238">
        <v>7.2024</v>
      </c>
      <c r="J59" s="639" t="s">
        <v>625</v>
      </c>
      <c r="K59" s="639"/>
      <c r="L59" s="639"/>
      <c r="M59" s="639"/>
      <c r="N59" s="639"/>
    </row>
    <row r="60" spans="2:14" ht="12.75" customHeight="1">
      <c r="B60" s="639" t="s">
        <v>675</v>
      </c>
      <c r="C60" s="639"/>
      <c r="D60" s="639"/>
      <c r="E60" s="639"/>
      <c r="F60" s="639"/>
      <c r="G60" s="238" t="s">
        <v>676</v>
      </c>
      <c r="H60" s="238">
        <v>2.85</v>
      </c>
      <c r="I60" s="238">
        <v>1.2019</v>
      </c>
      <c r="J60" s="639" t="s">
        <v>677</v>
      </c>
      <c r="K60" s="639"/>
      <c r="L60" s="639"/>
      <c r="M60" s="639"/>
      <c r="N60" s="639"/>
    </row>
    <row r="61" spans="2:14" ht="12.75" customHeight="1">
      <c r="B61" s="703" t="s">
        <v>696</v>
      </c>
      <c r="C61" s="704"/>
      <c r="D61" s="704"/>
      <c r="E61" s="704"/>
      <c r="F61" s="705"/>
      <c r="G61" s="238" t="s">
        <v>640</v>
      </c>
      <c r="H61" s="238">
        <v>6</v>
      </c>
      <c r="I61" s="238">
        <v>10.2017</v>
      </c>
      <c r="J61" s="639" t="s">
        <v>625</v>
      </c>
      <c r="K61" s="639"/>
      <c r="L61" s="639"/>
      <c r="M61" s="639"/>
      <c r="N61" s="639"/>
    </row>
    <row r="62" spans="2:14" ht="12.75">
      <c r="B62" s="703"/>
      <c r="C62" s="704"/>
      <c r="D62" s="704"/>
      <c r="E62" s="704"/>
      <c r="F62" s="705"/>
      <c r="G62" s="238"/>
      <c r="H62" s="238"/>
      <c r="I62" s="238"/>
      <c r="J62" s="639"/>
      <c r="K62" s="639"/>
      <c r="L62" s="639"/>
      <c r="M62" s="639"/>
      <c r="N62" s="639"/>
    </row>
    <row r="63" spans="2:14" ht="12.75">
      <c r="B63" s="703"/>
      <c r="C63" s="704"/>
      <c r="D63" s="704"/>
      <c r="E63" s="704"/>
      <c r="F63" s="705"/>
      <c r="G63" s="238"/>
      <c r="H63" s="238"/>
      <c r="I63" s="238"/>
      <c r="J63" s="703"/>
      <c r="K63" s="704"/>
      <c r="L63" s="704"/>
      <c r="M63" s="704"/>
      <c r="N63" s="705"/>
    </row>
    <row r="64" spans="2:14" ht="12.75">
      <c r="B64" s="639"/>
      <c r="C64" s="639"/>
      <c r="D64" s="639"/>
      <c r="E64" s="639"/>
      <c r="F64" s="639"/>
      <c r="G64" s="238"/>
      <c r="H64" s="389"/>
      <c r="I64" s="238"/>
      <c r="J64" s="639"/>
      <c r="K64" s="639"/>
      <c r="L64" s="639"/>
      <c r="M64" s="639"/>
      <c r="N64" s="639"/>
    </row>
    <row r="65" spans="2:14" ht="12.75">
      <c r="B65" s="639"/>
      <c r="C65" s="639"/>
      <c r="D65" s="639"/>
      <c r="E65" s="639"/>
      <c r="F65" s="639"/>
      <c r="G65" s="238"/>
      <c r="H65" s="389"/>
      <c r="I65" s="238"/>
      <c r="J65" s="639"/>
      <c r="K65" s="639"/>
      <c r="L65" s="639"/>
      <c r="M65" s="639"/>
      <c r="N65" s="639"/>
    </row>
    <row r="66" spans="2:14" ht="12.75">
      <c r="B66" s="639"/>
      <c r="C66" s="639"/>
      <c r="D66" s="639"/>
      <c r="E66" s="639"/>
      <c r="F66" s="639"/>
      <c r="G66" s="238"/>
      <c r="H66" s="389"/>
      <c r="I66" s="238"/>
      <c r="J66" s="639"/>
      <c r="K66" s="639"/>
      <c r="L66" s="639"/>
      <c r="M66" s="639"/>
      <c r="N66" s="639"/>
    </row>
    <row r="67" spans="2:14" ht="15">
      <c r="B67" s="624" t="s">
        <v>559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</row>
    <row r="68" spans="2:18" ht="12.75">
      <c r="B68" s="604" t="s">
        <v>530</v>
      </c>
      <c r="C68" s="617"/>
      <c r="D68" s="617"/>
      <c r="E68" s="617"/>
      <c r="F68" s="617"/>
      <c r="G68" s="617"/>
      <c r="H68" s="617"/>
      <c r="I68" s="617"/>
      <c r="J68" s="605"/>
      <c r="K68" s="657" t="s">
        <v>531</v>
      </c>
      <c r="L68" s="657"/>
      <c r="M68" s="657" t="s">
        <v>532</v>
      </c>
      <c r="N68" s="657"/>
      <c r="O68" s="387"/>
      <c r="P68" s="387"/>
      <c r="Q68" s="387"/>
      <c r="R68" s="387"/>
    </row>
    <row r="69" spans="2:18" ht="12.75">
      <c r="B69" s="606"/>
      <c r="C69" s="618"/>
      <c r="D69" s="618"/>
      <c r="E69" s="618"/>
      <c r="F69" s="618"/>
      <c r="G69" s="618"/>
      <c r="H69" s="618"/>
      <c r="I69" s="618"/>
      <c r="J69" s="607"/>
      <c r="K69" s="657"/>
      <c r="L69" s="657"/>
      <c r="M69" s="657"/>
      <c r="N69" s="657"/>
      <c r="O69" s="387"/>
      <c r="P69" s="387"/>
      <c r="Q69" s="387"/>
      <c r="R69" s="387"/>
    </row>
    <row r="70" spans="2:18" ht="12.75">
      <c r="B70" s="698"/>
      <c r="C70" s="699"/>
      <c r="D70" s="699"/>
      <c r="E70" s="699"/>
      <c r="F70" s="699"/>
      <c r="G70" s="699"/>
      <c r="H70" s="699"/>
      <c r="I70" s="699"/>
      <c r="J70" s="700"/>
      <c r="K70" s="626"/>
      <c r="L70" s="626"/>
      <c r="M70" s="626"/>
      <c r="N70" s="626"/>
      <c r="O70" s="387"/>
      <c r="P70" s="387"/>
      <c r="Q70" s="387"/>
      <c r="R70" s="387"/>
    </row>
    <row r="71" spans="2:18" ht="12.75">
      <c r="B71" s="698"/>
      <c r="C71" s="699"/>
      <c r="D71" s="699"/>
      <c r="E71" s="699"/>
      <c r="F71" s="699"/>
      <c r="G71" s="699"/>
      <c r="H71" s="699"/>
      <c r="I71" s="699"/>
      <c r="J71" s="700"/>
      <c r="K71" s="626"/>
      <c r="L71" s="626"/>
      <c r="M71" s="626"/>
      <c r="N71" s="626"/>
      <c r="O71" s="387"/>
      <c r="P71" s="387"/>
      <c r="Q71" s="387"/>
      <c r="R71" s="387"/>
    </row>
    <row r="72" spans="2:18" ht="12.75">
      <c r="B72" s="698"/>
      <c r="C72" s="699"/>
      <c r="D72" s="699"/>
      <c r="E72" s="699"/>
      <c r="F72" s="699"/>
      <c r="G72" s="699"/>
      <c r="H72" s="699"/>
      <c r="I72" s="699"/>
      <c r="J72" s="700"/>
      <c r="K72" s="626"/>
      <c r="L72" s="626"/>
      <c r="M72" s="626"/>
      <c r="N72" s="626"/>
      <c r="O72" s="387"/>
      <c r="P72" s="387"/>
      <c r="Q72" s="387"/>
      <c r="R72" s="387"/>
    </row>
    <row r="73" spans="2:18" ht="12.75">
      <c r="B73" s="698"/>
      <c r="C73" s="699"/>
      <c r="D73" s="699"/>
      <c r="E73" s="699"/>
      <c r="F73" s="699"/>
      <c r="G73" s="699"/>
      <c r="H73" s="699"/>
      <c r="I73" s="699"/>
      <c r="J73" s="700"/>
      <c r="K73" s="626"/>
      <c r="L73" s="626"/>
      <c r="M73" s="626"/>
      <c r="N73" s="626"/>
      <c r="O73" s="387"/>
      <c r="P73" s="387"/>
      <c r="Q73" s="387"/>
      <c r="R73" s="387"/>
    </row>
    <row r="74" spans="2:18" ht="12.75">
      <c r="B74" s="698"/>
      <c r="C74" s="699"/>
      <c r="D74" s="699"/>
      <c r="E74" s="699"/>
      <c r="F74" s="699"/>
      <c r="G74" s="699"/>
      <c r="H74" s="699"/>
      <c r="I74" s="699"/>
      <c r="J74" s="700"/>
      <c r="K74" s="626"/>
      <c r="L74" s="626"/>
      <c r="M74" s="626"/>
      <c r="N74" s="626"/>
      <c r="O74" s="387"/>
      <c r="P74" s="387"/>
      <c r="Q74" s="387"/>
      <c r="R74" s="387"/>
    </row>
    <row r="75" spans="2:18" ht="12.75">
      <c r="B75" s="698"/>
      <c r="C75" s="699"/>
      <c r="D75" s="699"/>
      <c r="E75" s="699"/>
      <c r="F75" s="699"/>
      <c r="G75" s="699"/>
      <c r="H75" s="699"/>
      <c r="I75" s="699"/>
      <c r="J75" s="700"/>
      <c r="K75" s="626"/>
      <c r="L75" s="626"/>
      <c r="M75" s="626"/>
      <c r="N75" s="626"/>
      <c r="O75" s="387"/>
      <c r="P75" s="387"/>
      <c r="Q75" s="387"/>
      <c r="R75" s="387"/>
    </row>
    <row r="76" spans="2:20" ht="12.75">
      <c r="B76" s="698"/>
      <c r="C76" s="699"/>
      <c r="D76" s="699"/>
      <c r="E76" s="699"/>
      <c r="F76" s="699"/>
      <c r="G76" s="699"/>
      <c r="H76" s="699"/>
      <c r="I76" s="699"/>
      <c r="J76" s="700"/>
      <c r="K76" s="626"/>
      <c r="L76" s="626"/>
      <c r="M76" s="626"/>
      <c r="N76" s="626"/>
      <c r="O76" s="387"/>
      <c r="P76" s="582">
        <f>IF(AND(S77="",S79=""),"","Разлика м/у ТАБ-ТА и СПРАВКИТЕ ЗА КРЕДИТИ")</f>
      </c>
      <c r="Q76" s="582"/>
      <c r="R76" s="582"/>
      <c r="S76" s="582"/>
      <c r="T76" s="582"/>
    </row>
    <row r="77" spans="2:20" ht="12.75">
      <c r="B77" s="698"/>
      <c r="C77" s="699"/>
      <c r="D77" s="699"/>
      <c r="E77" s="699"/>
      <c r="F77" s="699"/>
      <c r="G77" s="699"/>
      <c r="H77" s="699"/>
      <c r="I77" s="699"/>
      <c r="J77" s="700"/>
      <c r="K77" s="626"/>
      <c r="L77" s="626"/>
      <c r="M77" s="626"/>
      <c r="N77" s="626"/>
      <c r="O77" s="387"/>
      <c r="P77" s="583">
        <f>IF(S77="","","Разлика краткосрочна част:")</f>
      </c>
      <c r="Q77" s="583"/>
      <c r="R77" s="583"/>
      <c r="S77" s="427">
        <f>IF(K80=K40,"",K80-K40)</f>
      </c>
      <c r="T77" s="426"/>
    </row>
    <row r="78" spans="2:20" ht="12.75">
      <c r="B78" s="698"/>
      <c r="C78" s="699"/>
      <c r="D78" s="699"/>
      <c r="E78" s="699"/>
      <c r="F78" s="699"/>
      <c r="G78" s="699"/>
      <c r="H78" s="699"/>
      <c r="I78" s="699"/>
      <c r="J78" s="700"/>
      <c r="K78" s="626"/>
      <c r="L78" s="626"/>
      <c r="M78" s="626"/>
      <c r="N78" s="626"/>
      <c r="O78" s="387"/>
      <c r="P78" s="584">
        <f>IF(S77="","","Сума по кредити-текущи:")</f>
      </c>
      <c r="Q78" s="584"/>
      <c r="R78" s="584"/>
      <c r="S78" s="428">
        <f>IF(K80=K40,"",K40)</f>
      </c>
      <c r="T78" s="426"/>
    </row>
    <row r="79" spans="2:20" ht="12.75">
      <c r="B79" s="698"/>
      <c r="C79" s="699"/>
      <c r="D79" s="699"/>
      <c r="E79" s="699"/>
      <c r="F79" s="699"/>
      <c r="G79" s="699"/>
      <c r="H79" s="699"/>
      <c r="I79" s="699"/>
      <c r="J79" s="700"/>
      <c r="K79" s="626"/>
      <c r="L79" s="626"/>
      <c r="M79" s="626"/>
      <c r="N79" s="626"/>
      <c r="P79" s="583">
        <f>IF(S79="","","Разлика дългосрочна част:")</f>
      </c>
      <c r="Q79" s="583"/>
      <c r="R79" s="583"/>
      <c r="S79" s="427">
        <f>IF(M80=K13,"",M80-K13)</f>
      </c>
      <c r="T79" s="426"/>
    </row>
    <row r="80" spans="2:20" ht="12.75">
      <c r="B80" s="658" t="s">
        <v>85</v>
      </c>
      <c r="C80" s="659"/>
      <c r="D80" s="659"/>
      <c r="E80" s="659"/>
      <c r="F80" s="659"/>
      <c r="G80" s="659"/>
      <c r="H80" s="659"/>
      <c r="I80" s="659"/>
      <c r="J80" s="660"/>
      <c r="K80" s="631">
        <f>SUM(K70:L79)</f>
        <v>0</v>
      </c>
      <c r="L80" s="631"/>
      <c r="M80" s="631">
        <f>SUM(M70:N79)</f>
        <v>0</v>
      </c>
      <c r="N80" s="631"/>
      <c r="P80" s="584">
        <f>IF(S79="","","Сума по кредити-нетекущи:")</f>
      </c>
      <c r="Q80" s="584"/>
      <c r="R80" s="584"/>
      <c r="S80" s="428">
        <f>IF(M80=K13,"",K13)</f>
      </c>
      <c r="T80" s="426"/>
    </row>
    <row r="82" spans="2:14" ht="15">
      <c r="B82" s="636" t="s">
        <v>563</v>
      </c>
      <c r="C82" s="636"/>
      <c r="D82" s="636"/>
      <c r="E82" s="636"/>
      <c r="F82" s="636"/>
      <c r="G82" s="636"/>
      <c r="H82" s="636"/>
      <c r="I82" s="636"/>
      <c r="J82" s="636"/>
      <c r="K82" s="636"/>
      <c r="L82" s="636"/>
      <c r="M82" s="380"/>
      <c r="N82" s="380"/>
    </row>
    <row r="83" spans="2:12" ht="12.75">
      <c r="B83" s="641" t="s">
        <v>734</v>
      </c>
      <c r="C83" s="641"/>
      <c r="D83" s="641"/>
      <c r="E83" s="641"/>
      <c r="F83" s="641"/>
      <c r="G83" s="641"/>
      <c r="H83" s="641"/>
      <c r="I83" s="641"/>
      <c r="J83" s="641"/>
      <c r="K83" s="641"/>
      <c r="L83" s="641"/>
    </row>
    <row r="84" spans="2:12" ht="12.75">
      <c r="B84" s="642"/>
      <c r="C84" s="643"/>
      <c r="D84" s="643"/>
      <c r="E84" s="643"/>
      <c r="F84" s="644"/>
      <c r="G84" s="640" t="s">
        <v>241</v>
      </c>
      <c r="H84" s="640"/>
      <c r="I84" s="640" t="s">
        <v>242</v>
      </c>
      <c r="J84" s="640"/>
      <c r="K84" s="640" t="s">
        <v>85</v>
      </c>
      <c r="L84" s="640"/>
    </row>
    <row r="85" spans="2:12" ht="12.75">
      <c r="B85" s="651" t="s">
        <v>519</v>
      </c>
      <c r="C85" s="652"/>
      <c r="D85" s="652"/>
      <c r="E85" s="652"/>
      <c r="F85" s="653"/>
      <c r="G85" s="645"/>
      <c r="H85" s="645"/>
      <c r="I85" s="645">
        <v>21</v>
      </c>
      <c r="J85" s="645"/>
      <c r="K85" s="637">
        <f>SUM(G85:I85)</f>
        <v>21</v>
      </c>
      <c r="L85" s="637"/>
    </row>
    <row r="86" spans="2:12" ht="12.75">
      <c r="B86" s="651" t="s">
        <v>244</v>
      </c>
      <c r="C86" s="652"/>
      <c r="D86" s="652"/>
      <c r="E86" s="652"/>
      <c r="F86" s="653"/>
      <c r="G86" s="645"/>
      <c r="H86" s="645"/>
      <c r="I86" s="645"/>
      <c r="J86" s="645"/>
      <c r="K86" s="637">
        <f>SUM(G86:I86)</f>
        <v>0</v>
      </c>
      <c r="L86" s="637"/>
    </row>
    <row r="87" spans="2:12" ht="12.75">
      <c r="B87" s="654" t="s">
        <v>245</v>
      </c>
      <c r="C87" s="655"/>
      <c r="D87" s="655"/>
      <c r="E87" s="655"/>
      <c r="F87" s="656"/>
      <c r="G87" s="646">
        <f>SUM(F85:F86)</f>
        <v>0</v>
      </c>
      <c r="H87" s="646"/>
      <c r="I87" s="646">
        <f>I85+I86</f>
        <v>21</v>
      </c>
      <c r="J87" s="646"/>
      <c r="K87" s="646">
        <f>K85+K86</f>
        <v>21</v>
      </c>
      <c r="L87" s="646"/>
    </row>
    <row r="88" spans="2:12" ht="12.75">
      <c r="B88" s="641" t="s">
        <v>678</v>
      </c>
      <c r="C88" s="641"/>
      <c r="D88" s="641"/>
      <c r="E88" s="641"/>
      <c r="F88" s="641"/>
      <c r="G88" s="641"/>
      <c r="H88" s="641"/>
      <c r="I88" s="641"/>
      <c r="J88" s="641"/>
      <c r="K88" s="641"/>
      <c r="L88" s="641"/>
    </row>
    <row r="89" spans="2:12" ht="12.75">
      <c r="B89" s="647"/>
      <c r="C89" s="647"/>
      <c r="D89" s="647"/>
      <c r="E89" s="647"/>
      <c r="F89" s="647"/>
      <c r="G89" s="640" t="s">
        <v>241</v>
      </c>
      <c r="H89" s="640"/>
      <c r="I89" s="640" t="s">
        <v>242</v>
      </c>
      <c r="J89" s="640"/>
      <c r="K89" s="640" t="s">
        <v>85</v>
      </c>
      <c r="L89" s="640"/>
    </row>
    <row r="90" spans="2:12" ht="12.75">
      <c r="B90" s="648" t="s">
        <v>519</v>
      </c>
      <c r="C90" s="648"/>
      <c r="D90" s="648"/>
      <c r="E90" s="648"/>
      <c r="F90" s="648"/>
      <c r="G90" s="645"/>
      <c r="H90" s="645"/>
      <c r="I90" s="645">
        <v>23</v>
      </c>
      <c r="J90" s="645"/>
      <c r="K90" s="637">
        <f>SUM(F90:I90)</f>
        <v>23</v>
      </c>
      <c r="L90" s="637"/>
    </row>
    <row r="91" spans="2:12" ht="12.75">
      <c r="B91" s="648" t="s">
        <v>244</v>
      </c>
      <c r="C91" s="648"/>
      <c r="D91" s="648"/>
      <c r="E91" s="648"/>
      <c r="F91" s="648"/>
      <c r="G91" s="645"/>
      <c r="H91" s="645"/>
      <c r="I91" s="645"/>
      <c r="J91" s="645"/>
      <c r="K91" s="637">
        <f>SUM(F91:I91)</f>
        <v>0</v>
      </c>
      <c r="L91" s="637"/>
    </row>
    <row r="92" spans="2:12" ht="12.75">
      <c r="B92" s="649" t="s">
        <v>245</v>
      </c>
      <c r="C92" s="649"/>
      <c r="D92" s="649"/>
      <c r="E92" s="649"/>
      <c r="F92" s="649"/>
      <c r="G92" s="646">
        <f>SUM(G90:G91)</f>
        <v>0</v>
      </c>
      <c r="H92" s="646"/>
      <c r="I92" s="646">
        <f>SUM(I90:I91)</f>
        <v>23</v>
      </c>
      <c r="J92" s="646"/>
      <c r="K92" s="646">
        <f>SUM(K90:K91)</f>
        <v>23</v>
      </c>
      <c r="L92" s="646"/>
    </row>
    <row r="93" spans="2:12" ht="15">
      <c r="B93" s="650" t="s">
        <v>564</v>
      </c>
      <c r="C93" s="650"/>
      <c r="D93" s="650"/>
      <c r="E93" s="650"/>
      <c r="F93" s="650"/>
      <c r="G93" s="650"/>
      <c r="H93" s="650"/>
      <c r="I93" s="650"/>
      <c r="J93" s="650"/>
      <c r="K93" s="650"/>
      <c r="L93" s="650"/>
    </row>
    <row r="94" spans="2:12" ht="12.75">
      <c r="B94" s="641" t="str">
        <f>B83</f>
        <v>Бъдещи минимални лизингови плащания към 31.12.2015г. </v>
      </c>
      <c r="C94" s="641"/>
      <c r="D94" s="641"/>
      <c r="E94" s="641"/>
      <c r="F94" s="641"/>
      <c r="G94" s="641"/>
      <c r="H94" s="641"/>
      <c r="I94" s="641"/>
      <c r="J94" s="641"/>
      <c r="K94" s="641"/>
      <c r="L94" s="641"/>
    </row>
    <row r="95" spans="2:12" ht="12.75">
      <c r="B95" s="648" t="s">
        <v>519</v>
      </c>
      <c r="C95" s="648"/>
      <c r="D95" s="648"/>
      <c r="E95" s="648"/>
      <c r="F95" s="648"/>
      <c r="G95" s="645"/>
      <c r="H95" s="645"/>
      <c r="I95" s="645"/>
      <c r="J95" s="645"/>
      <c r="K95" s="637">
        <f>SUM(F95:I95)</f>
        <v>0</v>
      </c>
      <c r="L95" s="637"/>
    </row>
    <row r="96" spans="2:12" ht="12.75">
      <c r="B96" s="649" t="s">
        <v>85</v>
      </c>
      <c r="C96" s="649"/>
      <c r="D96" s="649"/>
      <c r="E96" s="649"/>
      <c r="F96" s="649"/>
      <c r="G96" s="646">
        <f>SUM(G95)</f>
        <v>0</v>
      </c>
      <c r="H96" s="646"/>
      <c r="I96" s="646">
        <f>SUM(I95)</f>
        <v>0</v>
      </c>
      <c r="J96" s="646"/>
      <c r="K96" s="646">
        <f>SUM(K95)</f>
        <v>0</v>
      </c>
      <c r="L96" s="646"/>
    </row>
  </sheetData>
  <sheetProtection/>
  <mergeCells count="269">
    <mergeCell ref="J61:N61"/>
    <mergeCell ref="B60:F60"/>
    <mergeCell ref="M51:N51"/>
    <mergeCell ref="J56:N56"/>
    <mergeCell ref="K51:L51"/>
    <mergeCell ref="B52:J52"/>
    <mergeCell ref="K52:L52"/>
    <mergeCell ref="M52:N52"/>
    <mergeCell ref="B51:J51"/>
    <mergeCell ref="B55:N55"/>
    <mergeCell ref="K96:L96"/>
    <mergeCell ref="B92:F92"/>
    <mergeCell ref="B96:F96"/>
    <mergeCell ref="G96:H96"/>
    <mergeCell ref="I96:J96"/>
    <mergeCell ref="B93:L93"/>
    <mergeCell ref="B56:F56"/>
    <mergeCell ref="I92:J92"/>
    <mergeCell ref="K92:L92"/>
    <mergeCell ref="G95:H95"/>
    <mergeCell ref="B94:L94"/>
    <mergeCell ref="I95:J95"/>
    <mergeCell ref="K95:L95"/>
    <mergeCell ref="I91:J91"/>
    <mergeCell ref="K89:L89"/>
    <mergeCell ref="B84:F84"/>
    <mergeCell ref="K90:L90"/>
    <mergeCell ref="I90:J90"/>
    <mergeCell ref="I89:J89"/>
    <mergeCell ref="B90:F90"/>
    <mergeCell ref="G87:H87"/>
    <mergeCell ref="I87:J87"/>
    <mergeCell ref="K87:L87"/>
    <mergeCell ref="B89:F89"/>
    <mergeCell ref="B88:L88"/>
    <mergeCell ref="G89:H89"/>
    <mergeCell ref="G86:H86"/>
    <mergeCell ref="B87:F87"/>
    <mergeCell ref="I86:J86"/>
    <mergeCell ref="K80:L80"/>
    <mergeCell ref="B80:J80"/>
    <mergeCell ref="K84:L84"/>
    <mergeCell ref="K91:L91"/>
    <mergeCell ref="B91:F91"/>
    <mergeCell ref="B95:F95"/>
    <mergeCell ref="G84:H84"/>
    <mergeCell ref="G91:H91"/>
    <mergeCell ref="G90:H90"/>
    <mergeCell ref="G92:H92"/>
    <mergeCell ref="I85:J85"/>
    <mergeCell ref="K85:L85"/>
    <mergeCell ref="B78:J78"/>
    <mergeCell ref="M77:N77"/>
    <mergeCell ref="K79:L79"/>
    <mergeCell ref="M80:N80"/>
    <mergeCell ref="B82:L82"/>
    <mergeCell ref="B83:L83"/>
    <mergeCell ref="I84:J84"/>
    <mergeCell ref="K78:L78"/>
    <mergeCell ref="M74:N74"/>
    <mergeCell ref="K74:L74"/>
    <mergeCell ref="B77:J77"/>
    <mergeCell ref="B76:J76"/>
    <mergeCell ref="K77:L77"/>
    <mergeCell ref="K76:L76"/>
    <mergeCell ref="B75:J75"/>
    <mergeCell ref="M75:N75"/>
    <mergeCell ref="M78:N78"/>
    <mergeCell ref="M79:N79"/>
    <mergeCell ref="B73:J73"/>
    <mergeCell ref="B79:J79"/>
    <mergeCell ref="M76:N76"/>
    <mergeCell ref="K71:L71"/>
    <mergeCell ref="B71:J71"/>
    <mergeCell ref="K72:L72"/>
    <mergeCell ref="K75:L75"/>
    <mergeCell ref="M73:N73"/>
    <mergeCell ref="B74:J74"/>
    <mergeCell ref="K73:L73"/>
    <mergeCell ref="M70:N70"/>
    <mergeCell ref="M72:N72"/>
    <mergeCell ref="M71:N71"/>
    <mergeCell ref="B86:F86"/>
    <mergeCell ref="K86:L86"/>
    <mergeCell ref="B85:F85"/>
    <mergeCell ref="G85:H85"/>
    <mergeCell ref="K70:L70"/>
    <mergeCell ref="B68:J69"/>
    <mergeCell ref="J66:N66"/>
    <mergeCell ref="J65:N65"/>
    <mergeCell ref="B67:N67"/>
    <mergeCell ref="M68:N69"/>
    <mergeCell ref="B72:J72"/>
    <mergeCell ref="B57:F57"/>
    <mergeCell ref="B64:F64"/>
    <mergeCell ref="J64:N64"/>
    <mergeCell ref="B66:F66"/>
    <mergeCell ref="B63:F63"/>
    <mergeCell ref="J60:N60"/>
    <mergeCell ref="J63:N63"/>
    <mergeCell ref="B61:F61"/>
    <mergeCell ref="J62:N62"/>
    <mergeCell ref="B62:F62"/>
    <mergeCell ref="B46:J46"/>
    <mergeCell ref="B70:J70"/>
    <mergeCell ref="B65:F65"/>
    <mergeCell ref="K68:L69"/>
    <mergeCell ref="B53:N53"/>
    <mergeCell ref="B58:F58"/>
    <mergeCell ref="J58:N58"/>
    <mergeCell ref="B59:F59"/>
    <mergeCell ref="J59:N59"/>
    <mergeCell ref="J57:N57"/>
    <mergeCell ref="M50:N50"/>
    <mergeCell ref="B49:J49"/>
    <mergeCell ref="K49:L49"/>
    <mergeCell ref="M49:N49"/>
    <mergeCell ref="B50:J50"/>
    <mergeCell ref="K50:L50"/>
    <mergeCell ref="B48:J48"/>
    <mergeCell ref="K40:L40"/>
    <mergeCell ref="K46:L46"/>
    <mergeCell ref="K43:L43"/>
    <mergeCell ref="K44:L44"/>
    <mergeCell ref="B47:N47"/>
    <mergeCell ref="M48:N48"/>
    <mergeCell ref="K48:L48"/>
    <mergeCell ref="M46:N46"/>
    <mergeCell ref="K45:L45"/>
    <mergeCell ref="B36:N36"/>
    <mergeCell ref="M38:N38"/>
    <mergeCell ref="B28:N28"/>
    <mergeCell ref="M32:N32"/>
    <mergeCell ref="B31:J31"/>
    <mergeCell ref="K31:L31"/>
    <mergeCell ref="M31:N31"/>
    <mergeCell ref="B29:J30"/>
    <mergeCell ref="M29:N30"/>
    <mergeCell ref="K32:L32"/>
    <mergeCell ref="M44:N44"/>
    <mergeCell ref="B37:J37"/>
    <mergeCell ref="B39:J39"/>
    <mergeCell ref="K38:L38"/>
    <mergeCell ref="B42:N42"/>
    <mergeCell ref="B44:J44"/>
    <mergeCell ref="M39:N39"/>
    <mergeCell ref="B43:J43"/>
    <mergeCell ref="K37:L37"/>
    <mergeCell ref="B40:J40"/>
    <mergeCell ref="M37:N37"/>
    <mergeCell ref="B38:J38"/>
    <mergeCell ref="M45:N45"/>
    <mergeCell ref="B45:J45"/>
    <mergeCell ref="M41:N41"/>
    <mergeCell ref="K41:L41"/>
    <mergeCell ref="M40:N40"/>
    <mergeCell ref="K39:L39"/>
    <mergeCell ref="B41:J41"/>
    <mergeCell ref="M43:N43"/>
    <mergeCell ref="M34:N34"/>
    <mergeCell ref="B34:J34"/>
    <mergeCell ref="B35:J35"/>
    <mergeCell ref="K35:L35"/>
    <mergeCell ref="M35:N35"/>
    <mergeCell ref="K34:L34"/>
    <mergeCell ref="K22:L22"/>
    <mergeCell ref="M22:N22"/>
    <mergeCell ref="B22:J22"/>
    <mergeCell ref="M33:N33"/>
    <mergeCell ref="B25:J25"/>
    <mergeCell ref="K25:L25"/>
    <mergeCell ref="B33:J33"/>
    <mergeCell ref="K33:L33"/>
    <mergeCell ref="B32:J32"/>
    <mergeCell ref="K29:L30"/>
    <mergeCell ref="B24:J24"/>
    <mergeCell ref="M25:N25"/>
    <mergeCell ref="M24:N24"/>
    <mergeCell ref="K24:L24"/>
    <mergeCell ref="M23:N23"/>
    <mergeCell ref="K23:L23"/>
    <mergeCell ref="B23:J23"/>
    <mergeCell ref="M21:N21"/>
    <mergeCell ref="B21:J21"/>
    <mergeCell ref="K21:L21"/>
    <mergeCell ref="B17:J17"/>
    <mergeCell ref="K17:L17"/>
    <mergeCell ref="B19:J19"/>
    <mergeCell ref="K19:L19"/>
    <mergeCell ref="M19:N19"/>
    <mergeCell ref="B18:J18"/>
    <mergeCell ref="K18:L18"/>
    <mergeCell ref="B16:J16"/>
    <mergeCell ref="K16:L16"/>
    <mergeCell ref="B20:N20"/>
    <mergeCell ref="M16:N16"/>
    <mergeCell ref="M17:N17"/>
    <mergeCell ref="M18:N18"/>
    <mergeCell ref="M8:N8"/>
    <mergeCell ref="B9:N9"/>
    <mergeCell ref="B7:J7"/>
    <mergeCell ref="B15:N15"/>
    <mergeCell ref="B13:J13"/>
    <mergeCell ref="K14:L14"/>
    <mergeCell ref="B12:J12"/>
    <mergeCell ref="B14:J14"/>
    <mergeCell ref="M14:N14"/>
    <mergeCell ref="M12:N12"/>
    <mergeCell ref="M5:N5"/>
    <mergeCell ref="K5:L5"/>
    <mergeCell ref="B8:J8"/>
    <mergeCell ref="K8:L8"/>
    <mergeCell ref="B6:J6"/>
    <mergeCell ref="K6:L6"/>
    <mergeCell ref="B5:J5"/>
    <mergeCell ref="K7:L7"/>
    <mergeCell ref="M7:N7"/>
    <mergeCell ref="M6:N6"/>
    <mergeCell ref="B1:N1"/>
    <mergeCell ref="B2:J3"/>
    <mergeCell ref="K2:L3"/>
    <mergeCell ref="M2:N3"/>
    <mergeCell ref="B4:J4"/>
    <mergeCell ref="K4:L4"/>
    <mergeCell ref="M4:N4"/>
    <mergeCell ref="P14:R14"/>
    <mergeCell ref="K13:L13"/>
    <mergeCell ref="K12:L12"/>
    <mergeCell ref="B11:J11"/>
    <mergeCell ref="M13:N13"/>
    <mergeCell ref="M10:N10"/>
    <mergeCell ref="B10:J10"/>
    <mergeCell ref="K10:L10"/>
    <mergeCell ref="K11:L11"/>
    <mergeCell ref="M11:N11"/>
    <mergeCell ref="P21:T21"/>
    <mergeCell ref="P4:T4"/>
    <mergeCell ref="P5:R5"/>
    <mergeCell ref="P6:R6"/>
    <mergeCell ref="P7:R7"/>
    <mergeCell ref="P8:R8"/>
    <mergeCell ref="P10:T10"/>
    <mergeCell ref="P11:R11"/>
    <mergeCell ref="P12:R12"/>
    <mergeCell ref="P13:R13"/>
    <mergeCell ref="P79:R79"/>
    <mergeCell ref="P80:R80"/>
    <mergeCell ref="P50:R50"/>
    <mergeCell ref="P51:R51"/>
    <mergeCell ref="P52:R52"/>
    <mergeCell ref="P76:T76"/>
    <mergeCell ref="P77:R77"/>
    <mergeCell ref="P78:R78"/>
    <mergeCell ref="P48:T48"/>
    <mergeCell ref="P49:R49"/>
    <mergeCell ref="P33:R33"/>
    <mergeCell ref="P34:R34"/>
    <mergeCell ref="P35:R35"/>
    <mergeCell ref="P38:R38"/>
    <mergeCell ref="P39:R39"/>
    <mergeCell ref="P40:R40"/>
    <mergeCell ref="P41:R41"/>
    <mergeCell ref="P37:T37"/>
    <mergeCell ref="P31:T31"/>
    <mergeCell ref="P32:R32"/>
    <mergeCell ref="P22:R22"/>
    <mergeCell ref="P23:R23"/>
    <mergeCell ref="P24:R24"/>
    <mergeCell ref="P25:R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197" customWidth="1"/>
    <col min="2" max="6" width="11.8515625" style="197" customWidth="1"/>
    <col min="7" max="16384" width="9.140625" style="197" customWidth="1"/>
  </cols>
  <sheetData>
    <row r="1" spans="2:6" ht="15">
      <c r="B1" s="707" t="s">
        <v>334</v>
      </c>
      <c r="C1" s="707"/>
      <c r="D1" s="707"/>
      <c r="E1" s="707"/>
      <c r="F1" s="707"/>
    </row>
    <row r="2" spans="2:6" ht="30">
      <c r="B2" s="599" t="s">
        <v>335</v>
      </c>
      <c r="C2" s="602"/>
      <c r="D2" s="600"/>
      <c r="E2" s="104" t="s">
        <v>673</v>
      </c>
      <c r="F2" s="344" t="s">
        <v>609</v>
      </c>
    </row>
    <row r="3" spans="2:6" ht="12.75">
      <c r="B3" s="677" t="s">
        <v>604</v>
      </c>
      <c r="C3" s="708"/>
      <c r="D3" s="678"/>
      <c r="E3" s="363"/>
      <c r="F3" s="363"/>
    </row>
    <row r="4" spans="2:6" ht="12.75">
      <c r="B4" s="679" t="s">
        <v>336</v>
      </c>
      <c r="C4" s="706"/>
      <c r="D4" s="680"/>
      <c r="E4" s="451"/>
      <c r="F4" s="451"/>
    </row>
    <row r="5" spans="2:6" ht="12.75">
      <c r="B5" s="679" t="s">
        <v>337</v>
      </c>
      <c r="C5" s="706"/>
      <c r="D5" s="680"/>
      <c r="E5" s="451"/>
      <c r="F5" s="451"/>
    </row>
    <row r="6" spans="2:6" ht="12.75">
      <c r="B6" s="623" t="s">
        <v>85</v>
      </c>
      <c r="C6" s="623"/>
      <c r="D6" s="623"/>
      <c r="E6" s="446">
        <f>SUM(E4:E5)</f>
        <v>0</v>
      </c>
      <c r="F6" s="446">
        <f>SUM(F4:F5)</f>
        <v>0</v>
      </c>
    </row>
    <row r="8" spans="2:6" ht="12.75">
      <c r="B8" s="599" t="s">
        <v>335</v>
      </c>
      <c r="C8" s="602"/>
      <c r="D8" s="600"/>
      <c r="E8" s="343" t="str">
        <f>E2</f>
        <v>30.06.2014 г.</v>
      </c>
      <c r="F8" s="343" t="str">
        <f>F2</f>
        <v>31.12.2007г.</v>
      </c>
    </row>
    <row r="9" spans="2:6" ht="12.75">
      <c r="B9" s="677" t="s">
        <v>603</v>
      </c>
      <c r="C9" s="708"/>
      <c r="D9" s="678"/>
      <c r="E9" s="363"/>
      <c r="F9" s="363"/>
    </row>
    <row r="10" spans="2:6" ht="12.75">
      <c r="B10" s="679" t="s">
        <v>336</v>
      </c>
      <c r="C10" s="706"/>
      <c r="D10" s="680"/>
      <c r="E10" s="232"/>
      <c r="F10" s="232"/>
    </row>
    <row r="11" spans="2:6" ht="12.75">
      <c r="B11" s="679" t="s">
        <v>337</v>
      </c>
      <c r="C11" s="706"/>
      <c r="D11" s="680"/>
      <c r="E11" s="232"/>
      <c r="F11" s="232"/>
    </row>
    <row r="12" spans="2:6" ht="12.75">
      <c r="B12" s="623" t="s">
        <v>85</v>
      </c>
      <c r="C12" s="623"/>
      <c r="D12" s="623"/>
      <c r="E12" s="446">
        <f>SUM(E10:E11)</f>
        <v>0</v>
      </c>
      <c r="F12" s="446">
        <f>SUM(F10:F11)</f>
        <v>0</v>
      </c>
    </row>
  </sheetData>
  <sheetProtection/>
  <mergeCells count="11">
    <mergeCell ref="B8:D8"/>
    <mergeCell ref="B5:D5"/>
    <mergeCell ref="B1:F1"/>
    <mergeCell ref="B2:D2"/>
    <mergeCell ref="B3:D3"/>
    <mergeCell ref="B4:D4"/>
    <mergeCell ref="B12:D12"/>
    <mergeCell ref="B6:D6"/>
    <mergeCell ref="B11:D11"/>
    <mergeCell ref="B10:D10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.7109375" style="197" customWidth="1"/>
    <col min="2" max="2" width="16.00390625" style="197" customWidth="1"/>
    <col min="3" max="3" width="22.421875" style="197" customWidth="1"/>
    <col min="4" max="5" width="12.140625" style="197" customWidth="1"/>
    <col min="6" max="16384" width="9.140625" style="197" customWidth="1"/>
  </cols>
  <sheetData>
    <row r="1" spans="2:5" ht="15">
      <c r="B1" s="616" t="s">
        <v>601</v>
      </c>
      <c r="C1" s="616"/>
      <c r="D1" s="616"/>
      <c r="E1" s="616"/>
    </row>
    <row r="2" spans="2:5" ht="15">
      <c r="B2" s="599" t="s">
        <v>227</v>
      </c>
      <c r="C2" s="600"/>
      <c r="D2" s="104" t="s">
        <v>740</v>
      </c>
      <c r="E2" s="104">
        <v>42369</v>
      </c>
    </row>
    <row r="3" spans="2:5" ht="12.75">
      <c r="B3" s="677" t="s">
        <v>338</v>
      </c>
      <c r="C3" s="678"/>
      <c r="D3" s="345">
        <f>SUM(D4:D6)</f>
        <v>0</v>
      </c>
      <c r="E3" s="345">
        <f>SUM(E4:E6)</f>
        <v>0</v>
      </c>
    </row>
    <row r="4" spans="2:5" ht="12.75">
      <c r="B4" s="679" t="s">
        <v>339</v>
      </c>
      <c r="C4" s="680"/>
      <c r="D4" s="346"/>
      <c r="E4" s="346"/>
    </row>
    <row r="5" spans="2:5" ht="12.75">
      <c r="B5" s="679" t="s">
        <v>343</v>
      </c>
      <c r="C5" s="680"/>
      <c r="D5" s="346"/>
      <c r="E5" s="346"/>
    </row>
    <row r="6" spans="2:5" ht="12.75">
      <c r="B6" s="679" t="s">
        <v>347</v>
      </c>
      <c r="C6" s="680"/>
      <c r="D6" s="346"/>
      <c r="E6" s="346"/>
    </row>
    <row r="7" spans="2:5" ht="12.75">
      <c r="B7" s="677" t="s">
        <v>339</v>
      </c>
      <c r="C7" s="678"/>
      <c r="D7" s="345"/>
      <c r="E7" s="345"/>
    </row>
    <row r="8" spans="2:5" ht="12.75">
      <c r="B8" s="677" t="s">
        <v>343</v>
      </c>
      <c r="C8" s="678"/>
      <c r="D8" s="345"/>
      <c r="E8" s="345"/>
    </row>
    <row r="9" spans="2:5" ht="12.75">
      <c r="B9" s="677" t="s">
        <v>342</v>
      </c>
      <c r="C9" s="678"/>
      <c r="D9" s="450">
        <v>21</v>
      </c>
      <c r="E9" s="450">
        <v>47</v>
      </c>
    </row>
    <row r="10" spans="2:11" ht="12.75">
      <c r="B10" s="712" t="s">
        <v>354</v>
      </c>
      <c r="C10" s="713"/>
      <c r="D10" s="449"/>
      <c r="E10" s="449"/>
      <c r="G10" s="582">
        <f>IF(AND(J11="",J13=""),"","Разлика между БАЛАНСА и ПРИЛОЖЕНИЕТО!")</f>
      </c>
      <c r="H10" s="582"/>
      <c r="I10" s="582"/>
      <c r="J10" s="582"/>
      <c r="K10" s="582"/>
    </row>
    <row r="11" spans="2:11" ht="12.75">
      <c r="B11" s="679" t="s">
        <v>349</v>
      </c>
      <c r="C11" s="680"/>
      <c r="D11" s="449">
        <v>21</v>
      </c>
      <c r="E11" s="449">
        <v>47</v>
      </c>
      <c r="G11" s="583">
        <f>IF(J11="","","Разлика текущ период:")</f>
      </c>
      <c r="H11" s="583"/>
      <c r="I11" s="583"/>
      <c r="J11" s="427">
        <f>IF(D14=баланс!E36,"",D14-баланс!E36)</f>
      </c>
      <c r="K11" s="426"/>
    </row>
    <row r="12" spans="2:11" ht="12.75">
      <c r="B12" s="679" t="s">
        <v>350</v>
      </c>
      <c r="C12" s="680"/>
      <c r="D12" s="346"/>
      <c r="E12" s="346"/>
      <c r="G12" s="584">
        <f>IF(J11="","","Сума по баланс:")</f>
      </c>
      <c r="H12" s="584"/>
      <c r="I12" s="584"/>
      <c r="J12" s="428">
        <f>IF(J11="","",баланс!E36)</f>
      </c>
      <c r="K12" s="426"/>
    </row>
    <row r="13" spans="2:11" ht="12.75">
      <c r="B13" s="679" t="s">
        <v>350</v>
      </c>
      <c r="C13" s="680"/>
      <c r="D13" s="346"/>
      <c r="E13" s="346"/>
      <c r="G13" s="583">
        <f>IF(J13="","","Разлика предходен период:")</f>
      </c>
      <c r="H13" s="583"/>
      <c r="I13" s="583"/>
      <c r="J13" s="427">
        <f>IF(E14=баланс!G36,"",E14-баланс!G36)</f>
      </c>
      <c r="K13" s="426"/>
    </row>
    <row r="14" spans="2:11" ht="12.75">
      <c r="B14" s="594" t="s">
        <v>85</v>
      </c>
      <c r="C14" s="596"/>
      <c r="D14" s="342">
        <f>D3+D7+D8+D9</f>
        <v>21</v>
      </c>
      <c r="E14" s="342">
        <f>E3+E7+E8+E9</f>
        <v>47</v>
      </c>
      <c r="G14" s="584">
        <f>IF(J13="","","Сума по баланс:")</f>
      </c>
      <c r="H14" s="584"/>
      <c r="I14" s="584"/>
      <c r="J14" s="428">
        <f>IF(J13="","",баланс!G36)</f>
      </c>
      <c r="K14" s="426"/>
    </row>
    <row r="15" spans="2:5" ht="15">
      <c r="B15" s="593" t="s">
        <v>602</v>
      </c>
      <c r="C15" s="593"/>
      <c r="D15" s="593"/>
      <c r="E15" s="593"/>
    </row>
    <row r="16" spans="2:5" ht="12.75">
      <c r="B16" s="599" t="s">
        <v>227</v>
      </c>
      <c r="C16" s="600"/>
      <c r="D16" s="343" t="str">
        <f>D2</f>
        <v>31.12.2016г.</v>
      </c>
      <c r="E16" s="343">
        <f>E2</f>
        <v>42369</v>
      </c>
    </row>
    <row r="17" spans="2:5" ht="12.75">
      <c r="B17" s="677" t="s">
        <v>338</v>
      </c>
      <c r="C17" s="678"/>
      <c r="D17" s="450">
        <f>SUM(D18:D21)</f>
        <v>4</v>
      </c>
      <c r="E17" s="450">
        <f>SUM(E18:E21)</f>
        <v>1224</v>
      </c>
    </row>
    <row r="18" spans="2:5" ht="12.75">
      <c r="B18" s="679" t="s">
        <v>339</v>
      </c>
      <c r="C18" s="680"/>
      <c r="D18" s="449"/>
      <c r="E18" s="449"/>
    </row>
    <row r="19" spans="2:5" ht="12.75">
      <c r="B19" s="679" t="s">
        <v>343</v>
      </c>
      <c r="C19" s="680"/>
      <c r="D19" s="449"/>
      <c r="E19" s="449"/>
    </row>
    <row r="20" spans="2:5" ht="12.75">
      <c r="B20" s="679" t="s">
        <v>351</v>
      </c>
      <c r="C20" s="680"/>
      <c r="D20" s="449"/>
      <c r="E20" s="449"/>
    </row>
    <row r="21" spans="2:5" ht="12.75">
      <c r="B21" s="679" t="s">
        <v>347</v>
      </c>
      <c r="C21" s="680"/>
      <c r="D21" s="449">
        <v>4</v>
      </c>
      <c r="E21" s="449">
        <v>1224</v>
      </c>
    </row>
    <row r="22" spans="2:5" ht="12.75">
      <c r="B22" s="677" t="s">
        <v>339</v>
      </c>
      <c r="C22" s="678"/>
      <c r="D22" s="450">
        <v>34325</v>
      </c>
      <c r="E22" s="450">
        <v>43758</v>
      </c>
    </row>
    <row r="23" spans="2:5" ht="12.75">
      <c r="B23" s="677" t="s">
        <v>343</v>
      </c>
      <c r="C23" s="678"/>
      <c r="D23" s="450">
        <v>17</v>
      </c>
      <c r="E23" s="450">
        <v>83</v>
      </c>
    </row>
    <row r="24" spans="2:5" ht="12.75">
      <c r="B24" s="709" t="s">
        <v>345</v>
      </c>
      <c r="C24" s="710"/>
      <c r="D24" s="450">
        <f>D27+D28</f>
        <v>15623</v>
      </c>
      <c r="E24" s="450">
        <v>22089</v>
      </c>
    </row>
    <row r="25" spans="2:5" ht="12.75">
      <c r="B25" s="711" t="s">
        <v>352</v>
      </c>
      <c r="C25" s="711"/>
      <c r="D25" s="449"/>
      <c r="E25" s="449"/>
    </row>
    <row r="26" spans="2:5" ht="12.75">
      <c r="B26" s="712" t="s">
        <v>354</v>
      </c>
      <c r="C26" s="713"/>
      <c r="D26" s="449"/>
      <c r="E26" s="449"/>
    </row>
    <row r="27" spans="2:11" ht="12.75">
      <c r="B27" s="712" t="s">
        <v>353</v>
      </c>
      <c r="C27" s="713"/>
      <c r="D27" s="449">
        <v>196</v>
      </c>
      <c r="E27" s="449">
        <v>106</v>
      </c>
      <c r="G27" s="582">
        <f>IF(AND(J28="",J30=""),"","Разлика между БАЛАНСА и ПРИЛОЖЕНИЕТО!")</f>
      </c>
      <c r="H27" s="582"/>
      <c r="I27" s="582"/>
      <c r="J27" s="582"/>
      <c r="K27" s="582"/>
    </row>
    <row r="28" spans="2:11" ht="12.75">
      <c r="B28" s="711" t="s">
        <v>346</v>
      </c>
      <c r="C28" s="711"/>
      <c r="D28" s="449">
        <v>15427</v>
      </c>
      <c r="E28" s="449">
        <v>21983</v>
      </c>
      <c r="G28" s="583">
        <f>IF(J28="","","Разлика текущ период:")</f>
      </c>
      <c r="H28" s="583"/>
      <c r="I28" s="583"/>
      <c r="J28" s="427">
        <f>IF(D31=баланс!E41,"",D31-баланс!E41)</f>
      </c>
      <c r="K28" s="426"/>
    </row>
    <row r="29" spans="2:11" ht="12.75">
      <c r="B29" s="712" t="s">
        <v>348</v>
      </c>
      <c r="C29" s="713"/>
      <c r="D29" s="449"/>
      <c r="E29" s="449"/>
      <c r="G29" s="584">
        <f>IF(J28="","","Сума по баланс:")</f>
      </c>
      <c r="H29" s="584"/>
      <c r="I29" s="584"/>
      <c r="J29" s="428">
        <f>IF(J28="","",баланс!E41)</f>
      </c>
      <c r="K29" s="426"/>
    </row>
    <row r="30" spans="2:11" ht="12.75">
      <c r="B30" s="712" t="s">
        <v>348</v>
      </c>
      <c r="C30" s="713"/>
      <c r="D30" s="449"/>
      <c r="E30" s="449"/>
      <c r="G30" s="583">
        <f>IF(J30="","","Разлика предходен период:")</f>
      </c>
      <c r="H30" s="583"/>
      <c r="I30" s="583"/>
      <c r="J30" s="427">
        <f>IF(E31=баланс!G41,"",E31-баланс!G41)</f>
      </c>
      <c r="K30" s="426"/>
    </row>
    <row r="31" spans="2:11" ht="12.75">
      <c r="B31" s="594" t="s">
        <v>85</v>
      </c>
      <c r="C31" s="596"/>
      <c r="D31" s="342">
        <f>D17+D22+D23+D24</f>
        <v>49969</v>
      </c>
      <c r="E31" s="342">
        <f>E17+E22+E23+E24</f>
        <v>67154</v>
      </c>
      <c r="G31" s="584">
        <f>IF(J30="","","Сума по баланс:")</f>
      </c>
      <c r="H31" s="584"/>
      <c r="I31" s="584"/>
      <c r="J31" s="428">
        <f>IF(J30="","",баланс!G41)</f>
      </c>
      <c r="K31" s="426"/>
    </row>
    <row r="32" spans="2:5" ht="15">
      <c r="B32" s="593" t="s">
        <v>605</v>
      </c>
      <c r="C32" s="593"/>
      <c r="D32" s="593"/>
      <c r="E32" s="593"/>
    </row>
    <row r="33" spans="2:5" ht="12.75">
      <c r="B33" s="599" t="s">
        <v>227</v>
      </c>
      <c r="C33" s="600"/>
      <c r="D33" s="343" t="str">
        <f>D2</f>
        <v>31.12.2016г.</v>
      </c>
      <c r="E33" s="343">
        <f>E2</f>
        <v>42369</v>
      </c>
    </row>
    <row r="34" spans="2:11" ht="12.75">
      <c r="B34" s="709" t="s">
        <v>69</v>
      </c>
      <c r="C34" s="710"/>
      <c r="D34" s="450">
        <v>164</v>
      </c>
      <c r="E34" s="450">
        <v>160</v>
      </c>
      <c r="G34" s="582">
        <f>IF(AND(J35="",J37=""),"","Разлика между БАЛАНСА и ПРИЛОЖЕНИЕТО!")</f>
      </c>
      <c r="H34" s="582"/>
      <c r="I34" s="582"/>
      <c r="J34" s="582"/>
      <c r="K34" s="582"/>
    </row>
    <row r="35" spans="2:11" ht="12.75">
      <c r="B35" s="711" t="s">
        <v>607</v>
      </c>
      <c r="C35" s="711"/>
      <c r="D35" s="449"/>
      <c r="E35" s="449"/>
      <c r="G35" s="583">
        <f>IF(J35="","","Разлика текущ период:")</f>
      </c>
      <c r="H35" s="583"/>
      <c r="I35" s="583"/>
      <c r="J35" s="427">
        <f>IF(D38=баланс!E44,"",D38-баланс!E44)</f>
      </c>
      <c r="K35" s="426"/>
    </row>
    <row r="36" spans="2:11" ht="12.75">
      <c r="B36" s="709" t="s">
        <v>606</v>
      </c>
      <c r="C36" s="710"/>
      <c r="D36" s="450">
        <v>117</v>
      </c>
      <c r="E36" s="450">
        <v>109</v>
      </c>
      <c r="G36" s="584">
        <f>IF(J35="","","Сума по баланс:")</f>
      </c>
      <c r="H36" s="584"/>
      <c r="I36" s="584"/>
      <c r="J36" s="428">
        <f>IF(J35="","",баланс!E44)</f>
      </c>
      <c r="K36" s="426"/>
    </row>
    <row r="37" spans="2:11" ht="12.75">
      <c r="B37" s="711" t="s">
        <v>607</v>
      </c>
      <c r="C37" s="711"/>
      <c r="D37" s="449"/>
      <c r="E37" s="449"/>
      <c r="G37" s="583">
        <f>IF(J37="","","Разлика предходен период:")</f>
      </c>
      <c r="H37" s="583"/>
      <c r="I37" s="583"/>
      <c r="J37" s="427">
        <f>IF(E38=баланс!G44,"",E38-баланс!G44)</f>
      </c>
      <c r="K37" s="426"/>
    </row>
    <row r="38" spans="2:11" ht="12.75">
      <c r="B38" s="594" t="s">
        <v>85</v>
      </c>
      <c r="C38" s="596"/>
      <c r="D38" s="450">
        <f>D34+D36</f>
        <v>281</v>
      </c>
      <c r="E38" s="450">
        <f>E34+E36</f>
        <v>269</v>
      </c>
      <c r="G38" s="584">
        <f>IF(J37="","","Сума по баланс:")</f>
      </c>
      <c r="H38" s="584"/>
      <c r="I38" s="584"/>
      <c r="J38" s="428">
        <f>IF(J37="","",баланс!G44)</f>
      </c>
      <c r="K38" s="426"/>
    </row>
  </sheetData>
  <sheetProtection/>
  <mergeCells count="53">
    <mergeCell ref="B26:C26"/>
    <mergeCell ref="B22:C22"/>
    <mergeCell ref="B12:C12"/>
    <mergeCell ref="B19:C19"/>
    <mergeCell ref="B14:C14"/>
    <mergeCell ref="B15:E15"/>
    <mergeCell ref="B17:C17"/>
    <mergeCell ref="B5:C5"/>
    <mergeCell ref="B25:C25"/>
    <mergeCell ref="B8:C8"/>
    <mergeCell ref="B9:C9"/>
    <mergeCell ref="B10:C10"/>
    <mergeCell ref="B13:C13"/>
    <mergeCell ref="G10:K10"/>
    <mergeCell ref="G11:I11"/>
    <mergeCell ref="G12:I12"/>
    <mergeCell ref="G13:I13"/>
    <mergeCell ref="B1:E1"/>
    <mergeCell ref="B2:C2"/>
    <mergeCell ref="B3:C3"/>
    <mergeCell ref="B4:C4"/>
    <mergeCell ref="B6:C6"/>
    <mergeCell ref="B7:C7"/>
    <mergeCell ref="G14:I14"/>
    <mergeCell ref="B11:C11"/>
    <mergeCell ref="B16:C16"/>
    <mergeCell ref="G27:K27"/>
    <mergeCell ref="B23:C23"/>
    <mergeCell ref="B18:C18"/>
    <mergeCell ref="B20:C20"/>
    <mergeCell ref="B21:C21"/>
    <mergeCell ref="B27:C27"/>
    <mergeCell ref="B24:C24"/>
    <mergeCell ref="B35:C35"/>
    <mergeCell ref="B29:C29"/>
    <mergeCell ref="G28:I28"/>
    <mergeCell ref="G29:I29"/>
    <mergeCell ref="G30:I30"/>
    <mergeCell ref="B32:E32"/>
    <mergeCell ref="B33:C33"/>
    <mergeCell ref="B28:C28"/>
    <mergeCell ref="B31:C31"/>
    <mergeCell ref="B30:C30"/>
    <mergeCell ref="B34:C34"/>
    <mergeCell ref="G31:I31"/>
    <mergeCell ref="B37:C37"/>
    <mergeCell ref="B38:C38"/>
    <mergeCell ref="G34:K34"/>
    <mergeCell ref="G35:I35"/>
    <mergeCell ref="G36:I36"/>
    <mergeCell ref="G37:I37"/>
    <mergeCell ref="G38:I38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80" zoomScalePageLayoutView="0" workbookViewId="0" topLeftCell="A1">
      <selection activeCell="E34" sqref="E34"/>
    </sheetView>
  </sheetViews>
  <sheetFormatPr defaultColWidth="9.140625" defaultRowHeight="12.75"/>
  <cols>
    <col min="1" max="1" width="50.7109375" style="21" customWidth="1"/>
    <col min="2" max="2" width="1.7109375" style="21" customWidth="1"/>
    <col min="3" max="3" width="10.28125" style="74" customWidth="1"/>
    <col min="4" max="4" width="1.7109375" style="74" customWidth="1"/>
    <col min="5" max="5" width="13.57421875" style="75" customWidth="1"/>
    <col min="6" max="6" width="1.421875" style="21" customWidth="1"/>
    <col min="7" max="7" width="13.57421875" style="75" customWidth="1"/>
    <col min="8" max="8" width="6.28125" style="21" customWidth="1"/>
    <col min="9" max="9" width="5.00390625" style="21" customWidth="1"/>
    <col min="10" max="16384" width="9.140625" style="21" customWidth="1"/>
  </cols>
  <sheetData>
    <row r="1" spans="1:8" ht="15">
      <c r="A1" s="520" t="str">
        <f>НАЧАЛО!B3</f>
        <v>"ТОПЛОФИКАЦИЯ - ПЛЕВЕН" ЕАД</v>
      </c>
      <c r="B1" s="520"/>
      <c r="C1" s="521"/>
      <c r="D1" s="521"/>
      <c r="E1" s="521"/>
      <c r="F1" s="521"/>
      <c r="G1" s="521"/>
      <c r="H1" s="20"/>
    </row>
    <row r="2" spans="1:8" s="23" customFormat="1" ht="15">
      <c r="A2" s="522" t="s">
        <v>739</v>
      </c>
      <c r="B2" s="522"/>
      <c r="C2" s="523"/>
      <c r="D2" s="523"/>
      <c r="E2" s="523"/>
      <c r="F2" s="523"/>
      <c r="G2" s="523"/>
      <c r="H2" s="22"/>
    </row>
    <row r="3" spans="1:8" ht="16.5" customHeight="1">
      <c r="A3" s="24"/>
      <c r="B3" s="24"/>
      <c r="C3" s="25"/>
      <c r="D3" s="26"/>
      <c r="E3" s="27"/>
      <c r="F3" s="26"/>
      <c r="G3" s="27"/>
      <c r="H3" s="20"/>
    </row>
    <row r="4" spans="1:10" ht="42" customHeight="1">
      <c r="A4" s="28"/>
      <c r="B4" s="28"/>
      <c r="C4" s="28"/>
      <c r="D4" s="28"/>
      <c r="E4" s="29" t="s">
        <v>740</v>
      </c>
      <c r="F4" s="29"/>
      <c r="G4" s="29" t="s">
        <v>717</v>
      </c>
      <c r="H4" s="22"/>
      <c r="I4" s="23"/>
      <c r="J4" s="23"/>
    </row>
    <row r="5" spans="1:10" ht="15.75" customHeight="1">
      <c r="A5" s="28"/>
      <c r="B5" s="28"/>
      <c r="C5" s="30" t="s">
        <v>0</v>
      </c>
      <c r="D5" s="28"/>
      <c r="E5" s="29" t="s">
        <v>16</v>
      </c>
      <c r="F5" s="31"/>
      <c r="G5" s="29" t="s">
        <v>16</v>
      </c>
      <c r="H5" s="22"/>
      <c r="I5" s="23"/>
      <c r="J5" s="23"/>
    </row>
    <row r="6" spans="1:8" ht="15.75">
      <c r="A6" s="32" t="s">
        <v>48</v>
      </c>
      <c r="B6" s="32"/>
      <c r="C6" s="30"/>
      <c r="D6" s="33"/>
      <c r="E6" s="34"/>
      <c r="F6" s="35"/>
      <c r="G6" s="34"/>
      <c r="H6" s="20"/>
    </row>
    <row r="7" spans="1:8" ht="12.75">
      <c r="A7" s="28"/>
      <c r="B7" s="28"/>
      <c r="C7" s="33"/>
      <c r="D7" s="33"/>
      <c r="E7" s="34"/>
      <c r="F7" s="35"/>
      <c r="G7" s="34"/>
      <c r="H7" s="20"/>
    </row>
    <row r="8" spans="1:8" s="42" customFormat="1" ht="15.75" customHeight="1">
      <c r="A8" s="36" t="s">
        <v>57</v>
      </c>
      <c r="B8" s="37"/>
      <c r="C8" s="474" t="s">
        <v>701</v>
      </c>
      <c r="D8" s="38"/>
      <c r="E8" s="39">
        <f>SUM(E9:E12)</f>
        <v>53261</v>
      </c>
      <c r="F8" s="40"/>
      <c r="G8" s="39">
        <f>SUM(G9:G12)</f>
        <v>58462</v>
      </c>
      <c r="H8" s="41"/>
    </row>
    <row r="9" spans="1:8" s="42" customFormat="1" ht="15">
      <c r="A9" s="43" t="s">
        <v>49</v>
      </c>
      <c r="B9" s="43"/>
      <c r="C9" s="475"/>
      <c r="D9" s="44"/>
      <c r="E9" s="45">
        <v>51606</v>
      </c>
      <c r="F9" s="40"/>
      <c r="G9" s="45">
        <v>53979</v>
      </c>
      <c r="H9" s="41"/>
    </row>
    <row r="10" spans="1:8" s="42" customFormat="1" ht="15">
      <c r="A10" s="43" t="s">
        <v>50</v>
      </c>
      <c r="B10" s="43"/>
      <c r="C10" s="475"/>
      <c r="D10" s="44"/>
      <c r="E10" s="45">
        <v>555</v>
      </c>
      <c r="F10" s="40"/>
      <c r="G10" s="45">
        <v>569</v>
      </c>
      <c r="H10" s="41"/>
    </row>
    <row r="11" spans="1:8" s="42" customFormat="1" ht="15.75" customHeight="1">
      <c r="A11" s="43" t="s">
        <v>51</v>
      </c>
      <c r="B11" s="43"/>
      <c r="C11" s="475"/>
      <c r="D11" s="44"/>
      <c r="E11" s="45">
        <v>14</v>
      </c>
      <c r="F11" s="40"/>
      <c r="G11" s="45">
        <v>13</v>
      </c>
      <c r="H11" s="41"/>
    </row>
    <row r="12" spans="1:8" s="42" customFormat="1" ht="15.75" customHeight="1">
      <c r="A12" s="43" t="s">
        <v>37</v>
      </c>
      <c r="B12" s="43"/>
      <c r="C12" s="475"/>
      <c r="D12" s="44"/>
      <c r="E12" s="45">
        <v>1086</v>
      </c>
      <c r="F12" s="46"/>
      <c r="G12" s="45">
        <v>3901</v>
      </c>
      <c r="H12" s="41"/>
    </row>
    <row r="13" spans="1:8" s="42" customFormat="1" ht="17.25" customHeight="1">
      <c r="A13" s="36" t="s">
        <v>56</v>
      </c>
      <c r="B13" s="37"/>
      <c r="C13" s="474" t="s">
        <v>702</v>
      </c>
      <c r="D13" s="38"/>
      <c r="E13" s="39">
        <v>53</v>
      </c>
      <c r="F13" s="45"/>
      <c r="G13" s="39">
        <v>54</v>
      </c>
      <c r="H13" s="41"/>
    </row>
    <row r="14" spans="1:8" s="42" customFormat="1" ht="7.5" customHeight="1">
      <c r="A14" s="37"/>
      <c r="B14" s="37"/>
      <c r="C14" s="475"/>
      <c r="D14" s="38"/>
      <c r="E14" s="47"/>
      <c r="F14" s="48"/>
      <c r="G14" s="47"/>
      <c r="H14" s="41"/>
    </row>
    <row r="15" spans="1:8" s="42" customFormat="1" ht="15.75" customHeight="1" thickBot="1">
      <c r="A15" s="49" t="s">
        <v>47</v>
      </c>
      <c r="B15" s="31"/>
      <c r="C15" s="476"/>
      <c r="D15" s="38"/>
      <c r="E15" s="50">
        <f>E8+E13</f>
        <v>53314</v>
      </c>
      <c r="F15" s="51"/>
      <c r="G15" s="50">
        <f>G8+G13</f>
        <v>58516</v>
      </c>
      <c r="H15" s="41"/>
    </row>
    <row r="16" spans="1:8" s="42" customFormat="1" ht="15.75" thickTop="1">
      <c r="A16" s="43"/>
      <c r="B16" s="43"/>
      <c r="C16" s="475"/>
      <c r="D16" s="44"/>
      <c r="E16" s="45"/>
      <c r="F16" s="52"/>
      <c r="G16" s="45"/>
      <c r="H16" s="41"/>
    </row>
    <row r="17" spans="1:8" s="42" customFormat="1" ht="18" customHeight="1">
      <c r="A17" s="31" t="s">
        <v>52</v>
      </c>
      <c r="B17" s="31"/>
      <c r="C17" s="475"/>
      <c r="D17" s="38"/>
      <c r="E17" s="45"/>
      <c r="F17" s="44"/>
      <c r="G17" s="45"/>
      <c r="H17" s="53"/>
    </row>
    <row r="18" spans="1:8" s="42" customFormat="1" ht="15">
      <c r="A18" s="36" t="s">
        <v>17</v>
      </c>
      <c r="B18" s="37"/>
      <c r="C18" s="477" t="s">
        <v>704</v>
      </c>
      <c r="D18" s="38"/>
      <c r="E18" s="39">
        <f>SUM(E19:E24)</f>
        <v>50515</v>
      </c>
      <c r="F18" s="44"/>
      <c r="G18" s="39">
        <f>SUM(G19:G24)</f>
        <v>63229</v>
      </c>
      <c r="H18" s="53"/>
    </row>
    <row r="19" spans="1:8" s="42" customFormat="1" ht="15">
      <c r="A19" s="43" t="s">
        <v>44</v>
      </c>
      <c r="B19" s="43"/>
      <c r="C19" s="473" t="s">
        <v>703</v>
      </c>
      <c r="D19" s="44"/>
      <c r="E19" s="45">
        <v>33260</v>
      </c>
      <c r="F19" s="40"/>
      <c r="G19" s="45">
        <v>46530</v>
      </c>
      <c r="H19" s="54"/>
    </row>
    <row r="20" spans="1:8" s="42" customFormat="1" ht="15">
      <c r="A20" s="43" t="s">
        <v>1</v>
      </c>
      <c r="B20" s="43"/>
      <c r="C20" s="473" t="s">
        <v>705</v>
      </c>
      <c r="D20" s="44"/>
      <c r="E20" s="45">
        <v>5530</v>
      </c>
      <c r="F20" s="40"/>
      <c r="G20" s="45">
        <v>3986</v>
      </c>
      <c r="H20" s="54"/>
    </row>
    <row r="21" spans="1:8" s="42" customFormat="1" ht="15">
      <c r="A21" s="43" t="s">
        <v>2</v>
      </c>
      <c r="B21" s="43"/>
      <c r="C21" s="473" t="s">
        <v>706</v>
      </c>
      <c r="D21" s="44"/>
      <c r="E21" s="45">
        <v>4125</v>
      </c>
      <c r="F21" s="40"/>
      <c r="G21" s="45">
        <v>4203</v>
      </c>
      <c r="H21" s="54"/>
    </row>
    <row r="22" spans="1:8" s="42" customFormat="1" ht="15">
      <c r="A22" s="43" t="s">
        <v>119</v>
      </c>
      <c r="B22" s="43"/>
      <c r="C22" s="473" t="s">
        <v>707</v>
      </c>
      <c r="D22" s="44"/>
      <c r="E22" s="45">
        <v>3171</v>
      </c>
      <c r="F22" s="40"/>
      <c r="G22" s="45">
        <v>2969</v>
      </c>
      <c r="H22" s="54"/>
    </row>
    <row r="23" spans="1:8" s="42" customFormat="1" ht="15">
      <c r="A23" s="43" t="s">
        <v>53</v>
      </c>
      <c r="B23" s="43"/>
      <c r="C23" s="473" t="s">
        <v>708</v>
      </c>
      <c r="D23" s="44"/>
      <c r="E23" s="45"/>
      <c r="F23" s="40"/>
      <c r="G23" s="45"/>
      <c r="H23" s="54"/>
    </row>
    <row r="24" spans="1:8" s="42" customFormat="1" ht="15">
      <c r="A24" s="43" t="s">
        <v>3</v>
      </c>
      <c r="B24" s="43"/>
      <c r="C24" s="473" t="s">
        <v>709</v>
      </c>
      <c r="D24" s="44"/>
      <c r="E24" s="45">
        <v>4429</v>
      </c>
      <c r="F24" s="40"/>
      <c r="G24" s="45">
        <v>5541</v>
      </c>
      <c r="H24" s="54"/>
    </row>
    <row r="25" spans="1:8" s="42" customFormat="1" ht="9" customHeight="1">
      <c r="A25" s="43"/>
      <c r="B25" s="43"/>
      <c r="C25" s="473"/>
      <c r="D25" s="44"/>
      <c r="E25" s="45"/>
      <c r="F25" s="44"/>
      <c r="G25" s="45"/>
      <c r="H25" s="53"/>
    </row>
    <row r="26" spans="1:8" s="42" customFormat="1" ht="15">
      <c r="A26" s="36" t="s">
        <v>18</v>
      </c>
      <c r="B26" s="37"/>
      <c r="C26" s="474"/>
      <c r="D26" s="38"/>
      <c r="E26" s="39">
        <f>SUM(E27:E28)</f>
        <v>-475</v>
      </c>
      <c r="F26" s="44"/>
      <c r="G26" s="39">
        <f>SUM(G27:G28)</f>
        <v>-58</v>
      </c>
      <c r="H26" s="53"/>
    </row>
    <row r="27" spans="1:8" s="42" customFormat="1" ht="30">
      <c r="A27" s="55" t="s">
        <v>4</v>
      </c>
      <c r="B27" s="55"/>
      <c r="C27" s="478" t="s">
        <v>710</v>
      </c>
      <c r="D27" s="56"/>
      <c r="E27" s="45">
        <v>14</v>
      </c>
      <c r="F27" s="40"/>
      <c r="G27" s="45">
        <v>12</v>
      </c>
      <c r="H27" s="54"/>
    </row>
    <row r="28" spans="1:8" s="42" customFormat="1" ht="18.75" customHeight="1">
      <c r="A28" s="55" t="s">
        <v>54</v>
      </c>
      <c r="B28" s="55"/>
      <c r="C28" s="478"/>
      <c r="D28" s="56"/>
      <c r="E28" s="45">
        <v>-489</v>
      </c>
      <c r="F28" s="40"/>
      <c r="G28" s="45">
        <v>-70</v>
      </c>
      <c r="H28" s="54"/>
    </row>
    <row r="29" spans="1:8" s="42" customFormat="1" ht="15">
      <c r="A29" s="36" t="s">
        <v>55</v>
      </c>
      <c r="B29" s="37"/>
      <c r="C29" s="474" t="s">
        <v>711</v>
      </c>
      <c r="D29" s="38"/>
      <c r="E29" s="39">
        <v>1638</v>
      </c>
      <c r="F29" s="38"/>
      <c r="G29" s="39">
        <v>4026</v>
      </c>
      <c r="H29" s="53"/>
    </row>
    <row r="30" spans="1:8" s="42" customFormat="1" ht="9" customHeight="1">
      <c r="A30" s="37"/>
      <c r="B30" s="37"/>
      <c r="C30" s="475"/>
      <c r="D30" s="38"/>
      <c r="E30" s="45"/>
      <c r="F30" s="57"/>
      <c r="G30" s="45"/>
      <c r="H30" s="53"/>
    </row>
    <row r="31" spans="1:8" s="42" customFormat="1" ht="15" customHeight="1" thickBot="1">
      <c r="A31" s="49" t="s">
        <v>61</v>
      </c>
      <c r="B31" s="31"/>
      <c r="C31" s="476"/>
      <c r="D31" s="38"/>
      <c r="E31" s="50">
        <f>E18+E26+E29</f>
        <v>51678</v>
      </c>
      <c r="F31" s="51"/>
      <c r="G31" s="50">
        <f>G18+G26+G29</f>
        <v>67197</v>
      </c>
      <c r="H31" s="53"/>
    </row>
    <row r="32" spans="1:8" s="42" customFormat="1" ht="9" customHeight="1" thickTop="1">
      <c r="A32" s="37"/>
      <c r="B32" s="37"/>
      <c r="C32" s="475"/>
      <c r="D32" s="38"/>
      <c r="E32" s="45"/>
      <c r="F32" s="57"/>
      <c r="G32" s="45"/>
      <c r="H32" s="53"/>
    </row>
    <row r="33" spans="1:8" s="42" customFormat="1" ht="9" customHeight="1">
      <c r="A33" s="37"/>
      <c r="B33" s="37"/>
      <c r="C33" s="475"/>
      <c r="D33" s="38"/>
      <c r="E33" s="45"/>
      <c r="F33" s="57"/>
      <c r="G33" s="45"/>
      <c r="H33" s="53"/>
    </row>
    <row r="34" spans="1:8" s="42" customFormat="1" ht="15" customHeight="1" thickBot="1">
      <c r="A34" s="49" t="s">
        <v>58</v>
      </c>
      <c r="B34" s="31"/>
      <c r="C34" s="476"/>
      <c r="D34" s="38"/>
      <c r="E34" s="50">
        <f>E15-E31</f>
        <v>1636</v>
      </c>
      <c r="F34" s="51"/>
      <c r="G34" s="50">
        <f>G15-G31</f>
        <v>-8681</v>
      </c>
      <c r="H34" s="53"/>
    </row>
    <row r="35" spans="1:8" s="42" customFormat="1" ht="17.25" customHeight="1" thickTop="1">
      <c r="A35" s="36" t="s">
        <v>644</v>
      </c>
      <c r="B35" s="37"/>
      <c r="C35" s="474"/>
      <c r="D35" s="38"/>
      <c r="E35" s="39"/>
      <c r="F35" s="38"/>
      <c r="G35" s="39"/>
      <c r="H35" s="53"/>
    </row>
    <row r="36" spans="1:8" s="42" customFormat="1" ht="15" customHeight="1">
      <c r="A36" s="36" t="s">
        <v>43</v>
      </c>
      <c r="B36" s="37"/>
      <c r="C36" s="474" t="s">
        <v>712</v>
      </c>
      <c r="D36" s="38"/>
      <c r="E36" s="39">
        <f>SUM(E37:E38)</f>
        <v>0</v>
      </c>
      <c r="F36" s="44"/>
      <c r="G36" s="39">
        <f>SUM(G37:G38)</f>
        <v>-870</v>
      </c>
      <c r="H36" s="53"/>
    </row>
    <row r="37" spans="1:8" s="42" customFormat="1" ht="15">
      <c r="A37" s="58" t="s">
        <v>42</v>
      </c>
      <c r="B37" s="58"/>
      <c r="C37" s="475"/>
      <c r="D37" s="38"/>
      <c r="E37" s="45"/>
      <c r="F37" s="45"/>
      <c r="G37" s="45"/>
      <c r="H37" s="53"/>
    </row>
    <row r="38" spans="1:8" s="42" customFormat="1" ht="15">
      <c r="A38" s="58" t="s">
        <v>59</v>
      </c>
      <c r="B38" s="58"/>
      <c r="C38" s="475"/>
      <c r="D38" s="38"/>
      <c r="E38" s="397"/>
      <c r="F38" s="56"/>
      <c r="G38" s="397">
        <v>-870</v>
      </c>
      <c r="H38" s="53"/>
    </row>
    <row r="39" spans="1:8" s="42" customFormat="1" ht="7.5" customHeight="1">
      <c r="A39" s="43"/>
      <c r="B39" s="43"/>
      <c r="C39" s="475"/>
      <c r="D39" s="44"/>
      <c r="E39" s="56"/>
      <c r="F39" s="56"/>
      <c r="G39" s="56"/>
      <c r="H39" s="53"/>
    </row>
    <row r="40" spans="1:8" s="42" customFormat="1" ht="15.75" thickBot="1">
      <c r="A40" s="49" t="s">
        <v>60</v>
      </c>
      <c r="B40" s="31"/>
      <c r="C40" s="476"/>
      <c r="D40" s="38"/>
      <c r="E40" s="50">
        <f>E34-E36</f>
        <v>1636</v>
      </c>
      <c r="F40" s="51"/>
      <c r="G40" s="50">
        <f>G34-G36</f>
        <v>-7811</v>
      </c>
      <c r="H40" s="59"/>
    </row>
    <row r="41" spans="1:8" s="42" customFormat="1" ht="15" customHeight="1" thickTop="1">
      <c r="A41" s="525"/>
      <c r="B41" s="525"/>
      <c r="C41" s="525"/>
      <c r="D41" s="57"/>
      <c r="E41" s="396"/>
      <c r="F41" s="57"/>
      <c r="G41" s="396"/>
      <c r="H41" s="395"/>
    </row>
    <row r="42" spans="1:8" ht="15">
      <c r="A42" s="524"/>
      <c r="B42" s="524"/>
      <c r="C42" s="524"/>
      <c r="D42" s="524"/>
      <c r="E42" s="524"/>
      <c r="F42" s="524"/>
      <c r="G42" s="524"/>
      <c r="H42" s="62"/>
    </row>
    <row r="43" spans="1:8" ht="15">
      <c r="A43" s="519"/>
      <c r="B43" s="519"/>
      <c r="C43" s="519"/>
      <c r="D43" s="422"/>
      <c r="E43" s="423">
        <f>IF(E$40=баланс!E$31,"",баланс!E$31)</f>
      </c>
      <c r="F43" s="422"/>
      <c r="G43" s="423"/>
      <c r="H43" s="62"/>
    </row>
    <row r="44" spans="1:8" ht="15">
      <c r="A44" s="211" t="str">
        <f>НАЧАЛО!$A$44</f>
        <v>Представляващ:</v>
      </c>
      <c r="B44" s="63"/>
      <c r="C44" s="64"/>
      <c r="D44" s="62"/>
      <c r="E44" s="62"/>
      <c r="F44" s="62"/>
      <c r="G44" s="62"/>
      <c r="H44" s="62"/>
    </row>
    <row r="45" spans="1:8" ht="15">
      <c r="A45" s="130" t="str">
        <f>НАЧАЛО!$A$46</f>
        <v>инж. ЙОРДАН ВАСИЛЕВ ВАСИЛЕВ</v>
      </c>
      <c r="B45" s="65"/>
      <c r="C45" s="62"/>
      <c r="D45" s="62"/>
      <c r="E45" s="62"/>
      <c r="F45" s="62"/>
      <c r="G45" s="62"/>
      <c r="H45" s="62"/>
    </row>
    <row r="46" spans="1:8" ht="12.75">
      <c r="A46" s="62"/>
      <c r="B46" s="62"/>
      <c r="C46" s="62"/>
      <c r="D46" s="62"/>
      <c r="E46" s="62"/>
      <c r="F46" s="62"/>
      <c r="G46" s="62"/>
      <c r="H46" s="62"/>
    </row>
    <row r="47" spans="1:8" ht="15">
      <c r="A47" s="66" t="str">
        <f>НАЧАЛО!$F$44</f>
        <v>Съставител:</v>
      </c>
      <c r="B47" s="66"/>
      <c r="C47" s="67"/>
      <c r="D47" s="67"/>
      <c r="E47" s="68"/>
      <c r="F47" s="62"/>
      <c r="G47" s="68"/>
      <c r="H47" s="62"/>
    </row>
    <row r="48" spans="1:8" ht="15">
      <c r="A48" s="73" t="str">
        <f>НАЧАЛО!$F$46</f>
        <v>БЕРТА СИМЕОНОВА ЦАНКОВА</v>
      </c>
      <c r="B48" s="69"/>
      <c r="C48" s="67"/>
      <c r="D48" s="67"/>
      <c r="E48" s="68"/>
      <c r="F48" s="62"/>
      <c r="G48" s="68"/>
      <c r="H48" s="62"/>
    </row>
    <row r="49" spans="1:8" ht="15">
      <c r="A49" s="66"/>
      <c r="B49" s="66"/>
      <c r="C49" s="67"/>
      <c r="D49" s="67"/>
      <c r="E49" s="68"/>
      <c r="F49" s="62"/>
      <c r="G49" s="68"/>
      <c r="H49" s="62"/>
    </row>
    <row r="50" spans="1:8" ht="15" hidden="1">
      <c r="A50" s="73"/>
      <c r="B50" s="69"/>
      <c r="C50" s="67"/>
      <c r="D50" s="67"/>
      <c r="E50" s="68"/>
      <c r="F50" s="62"/>
      <c r="G50" s="68"/>
      <c r="H50" s="62"/>
    </row>
    <row r="51" spans="1:8" ht="15" hidden="1">
      <c r="A51" s="130"/>
      <c r="B51" s="62"/>
      <c r="C51" s="67"/>
      <c r="D51" s="67"/>
      <c r="E51" s="68"/>
      <c r="F51" s="62"/>
      <c r="G51" s="68"/>
      <c r="H51" s="62"/>
    </row>
    <row r="52" spans="1:8" ht="12.75" customHeight="1">
      <c r="A52" s="70"/>
      <c r="B52" s="71"/>
      <c r="C52" s="67"/>
      <c r="D52" s="67"/>
      <c r="E52" s="68"/>
      <c r="F52" s="62"/>
      <c r="G52" s="68"/>
      <c r="H52" s="62"/>
    </row>
    <row r="53" spans="1:8" ht="15">
      <c r="A53" s="130"/>
      <c r="B53" s="62"/>
      <c r="C53" s="67"/>
      <c r="D53" s="67"/>
      <c r="E53" s="68"/>
      <c r="F53" s="62"/>
      <c r="G53" s="68"/>
      <c r="H53" s="62"/>
    </row>
    <row r="54" spans="1:2" ht="15">
      <c r="A54" s="212"/>
      <c r="B54" s="212"/>
    </row>
    <row r="56" spans="1:2" ht="15">
      <c r="A56" s="140"/>
      <c r="B56" s="140"/>
    </row>
  </sheetData>
  <sheetProtection/>
  <mergeCells count="5">
    <mergeCell ref="A43:C43"/>
    <mergeCell ref="A1:G1"/>
    <mergeCell ref="A2:G2"/>
    <mergeCell ref="A42:G42"/>
    <mergeCell ref="A41:C41"/>
  </mergeCells>
  <printOptions horizontalCentered="1"/>
  <pageMargins left="0.7480314960629921" right="0" top="0.8661417322834646" bottom="0.31496062992125984" header="0.3937007874015748" footer="0.7874015748031497"/>
  <pageSetup firstPageNumber="1" useFirstPageNumber="1" horizontalDpi="600" verticalDpi="600" orientation="portrait" paperSize="9" scale="95" r:id="rId1"/>
  <colBreaks count="1" manualBreakCount="1">
    <brk id="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335" customWidth="1"/>
    <col min="2" max="2" width="16.00390625" style="335" customWidth="1"/>
    <col min="3" max="3" width="22.421875" style="335" customWidth="1"/>
    <col min="4" max="5" width="12.140625" style="335" customWidth="1"/>
    <col min="6" max="16384" width="9.140625" style="335" customWidth="1"/>
  </cols>
  <sheetData>
    <row r="1" spans="2:5" ht="14.25">
      <c r="B1" s="720" t="s">
        <v>70</v>
      </c>
      <c r="C1" s="720"/>
      <c r="D1" s="720"/>
      <c r="E1" s="720"/>
    </row>
    <row r="2" spans="2:5" ht="12.75" customHeight="1">
      <c r="B2" s="721" t="s">
        <v>227</v>
      </c>
      <c r="C2" s="722"/>
      <c r="D2" s="104" t="s">
        <v>740</v>
      </c>
      <c r="E2" s="104">
        <v>42369</v>
      </c>
    </row>
    <row r="3" spans="2:5" ht="12.75">
      <c r="B3" s="714" t="s">
        <v>356</v>
      </c>
      <c r="C3" s="715"/>
      <c r="D3" s="489">
        <f>SUM(D4:D8)</f>
        <v>336</v>
      </c>
      <c r="E3" s="489">
        <f>SUM(E4:E8)</f>
        <v>336</v>
      </c>
    </row>
    <row r="4" spans="2:5" ht="12.75">
      <c r="B4" s="716" t="s">
        <v>619</v>
      </c>
      <c r="C4" s="717"/>
      <c r="D4" s="490">
        <v>291</v>
      </c>
      <c r="E4" s="490">
        <v>291</v>
      </c>
    </row>
    <row r="5" spans="2:5" ht="12.75">
      <c r="B5" s="716" t="s">
        <v>620</v>
      </c>
      <c r="C5" s="717"/>
      <c r="D5" s="490">
        <v>20</v>
      </c>
      <c r="E5" s="490">
        <v>20</v>
      </c>
    </row>
    <row r="6" spans="2:5" ht="12.75">
      <c r="B6" s="716" t="s">
        <v>621</v>
      </c>
      <c r="C6" s="717"/>
      <c r="D6" s="490">
        <v>25</v>
      </c>
      <c r="E6" s="490">
        <v>25</v>
      </c>
    </row>
    <row r="7" spans="2:5" ht="12.75">
      <c r="B7" s="716" t="s">
        <v>357</v>
      </c>
      <c r="C7" s="717"/>
      <c r="D7" s="490"/>
      <c r="E7" s="490"/>
    </row>
    <row r="8" spans="2:5" ht="12.75">
      <c r="B8" s="716" t="s">
        <v>357</v>
      </c>
      <c r="C8" s="717"/>
      <c r="D8" s="490"/>
      <c r="E8" s="490"/>
    </row>
    <row r="9" spans="2:5" ht="12.75">
      <c r="B9" s="714" t="s">
        <v>358</v>
      </c>
      <c r="C9" s="715"/>
      <c r="D9" s="489">
        <f>SUM(D10:D14)</f>
        <v>0</v>
      </c>
      <c r="E9" s="489">
        <f>SUM(E10:E14)</f>
        <v>0</v>
      </c>
    </row>
    <row r="10" spans="2:5" ht="12.75">
      <c r="B10" s="716" t="s">
        <v>357</v>
      </c>
      <c r="C10" s="717"/>
      <c r="D10" s="490"/>
      <c r="E10" s="490"/>
    </row>
    <row r="11" spans="2:11" ht="12.75">
      <c r="B11" s="716" t="s">
        <v>357</v>
      </c>
      <c r="C11" s="717"/>
      <c r="D11" s="490"/>
      <c r="E11" s="490"/>
      <c r="G11" s="582">
        <f>IF(AND(J12="",J14=""),"","Разлика между БАЛАНСА и ПРИЛОЖЕНИЕТО!")</f>
      </c>
      <c r="H11" s="582"/>
      <c r="I11" s="582"/>
      <c r="J11" s="582"/>
      <c r="K11" s="582"/>
    </row>
    <row r="12" spans="2:11" ht="12.75">
      <c r="B12" s="716" t="s">
        <v>357</v>
      </c>
      <c r="C12" s="717"/>
      <c r="D12" s="490"/>
      <c r="E12" s="490"/>
      <c r="G12" s="583">
        <f>IF(J12="","","Разлика текущ период:")</f>
      </c>
      <c r="H12" s="583"/>
      <c r="I12" s="583"/>
      <c r="J12" s="427">
        <f>IF(D15=баланс!E46,"",D15-баланс!E46)</f>
      </c>
      <c r="K12" s="426"/>
    </row>
    <row r="13" spans="2:11" ht="12.75">
      <c r="B13" s="716" t="s">
        <v>357</v>
      </c>
      <c r="C13" s="717"/>
      <c r="D13" s="490"/>
      <c r="E13" s="490"/>
      <c r="G13" s="584">
        <f>IF(J12="","","Сума по баланс:")</f>
      </c>
      <c r="H13" s="584"/>
      <c r="I13" s="584"/>
      <c r="J13" s="428">
        <f>IF(J12="","",баланс!E46)</f>
      </c>
      <c r="K13" s="426"/>
    </row>
    <row r="14" spans="2:11" ht="12.75">
      <c r="B14" s="716" t="s">
        <v>357</v>
      </c>
      <c r="C14" s="717"/>
      <c r="D14" s="490"/>
      <c r="E14" s="490"/>
      <c r="G14" s="583">
        <f>IF(J14="","","Разлика предходен период:")</f>
      </c>
      <c r="H14" s="583"/>
      <c r="I14" s="583"/>
      <c r="J14" s="427">
        <f>IF(E15=баланс!G46,"",E15-баланс!G46)</f>
      </c>
      <c r="K14" s="426"/>
    </row>
    <row r="15" spans="2:11" ht="12.75">
      <c r="B15" s="718" t="s">
        <v>85</v>
      </c>
      <c r="C15" s="719"/>
      <c r="D15" s="489">
        <f>D3+D9</f>
        <v>336</v>
      </c>
      <c r="E15" s="489">
        <f>E3+E9</f>
        <v>336</v>
      </c>
      <c r="G15" s="584">
        <f>IF(J14="","","Сума по баланс:")</f>
      </c>
      <c r="H15" s="584"/>
      <c r="I15" s="584"/>
      <c r="J15" s="428">
        <f>IF(J14="","",баланс!G46)</f>
      </c>
      <c r="K15" s="426"/>
    </row>
    <row r="16" spans="4:5" ht="12.75">
      <c r="D16" s="491"/>
      <c r="E16" s="491"/>
    </row>
    <row r="37" ht="12.75">
      <c r="E37" s="197"/>
    </row>
  </sheetData>
  <sheetProtection/>
  <mergeCells count="20">
    <mergeCell ref="B11:C11"/>
    <mergeCell ref="B12:C12"/>
    <mergeCell ref="B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G15:I15"/>
    <mergeCell ref="B15:C15"/>
    <mergeCell ref="B13:C13"/>
    <mergeCell ref="B14:C14"/>
    <mergeCell ref="G11:K11"/>
    <mergeCell ref="G12:I12"/>
    <mergeCell ref="G13:I13"/>
    <mergeCell ref="G14:I14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335" customWidth="1"/>
    <col min="2" max="2" width="16.00390625" style="335" customWidth="1"/>
    <col min="3" max="3" width="22.421875" style="335" customWidth="1"/>
    <col min="4" max="5" width="12.140625" style="335" customWidth="1"/>
    <col min="6" max="16384" width="9.140625" style="335" customWidth="1"/>
  </cols>
  <sheetData>
    <row r="1" spans="2:5" ht="14.25">
      <c r="B1" s="720" t="s">
        <v>380</v>
      </c>
      <c r="C1" s="720"/>
      <c r="D1" s="720"/>
      <c r="E1" s="720"/>
    </row>
    <row r="2" spans="2:5" ht="12.75" customHeight="1">
      <c r="B2" s="721" t="s">
        <v>227</v>
      </c>
      <c r="C2" s="722"/>
      <c r="D2" s="366">
        <f>НАЧАЛО!AA2</f>
        <v>42735</v>
      </c>
      <c r="E2" s="367" t="s">
        <v>609</v>
      </c>
    </row>
    <row r="3" spans="2:5" ht="12.75">
      <c r="B3" s="716" t="s">
        <v>357</v>
      </c>
      <c r="C3" s="717"/>
      <c r="D3" s="337"/>
      <c r="E3" s="337"/>
    </row>
    <row r="4" spans="2:5" ht="12.75">
      <c r="B4" s="716" t="s">
        <v>357</v>
      </c>
      <c r="C4" s="717"/>
      <c r="D4" s="337"/>
      <c r="E4" s="337"/>
    </row>
    <row r="5" spans="2:5" ht="12.75">
      <c r="B5" s="716" t="s">
        <v>357</v>
      </c>
      <c r="C5" s="717"/>
      <c r="D5" s="337"/>
      <c r="E5" s="337"/>
    </row>
    <row r="6" spans="2:5" ht="12.75">
      <c r="B6" s="716" t="s">
        <v>357</v>
      </c>
      <c r="C6" s="717"/>
      <c r="D6" s="337"/>
      <c r="E6" s="337"/>
    </row>
    <row r="7" spans="2:5" ht="12.75">
      <c r="B7" s="716" t="s">
        <v>357</v>
      </c>
      <c r="C7" s="717"/>
      <c r="D7" s="337"/>
      <c r="E7" s="337"/>
    </row>
    <row r="8" spans="2:5" ht="12.75">
      <c r="B8" s="716" t="s">
        <v>357</v>
      </c>
      <c r="C8" s="717"/>
      <c r="D8" s="337"/>
      <c r="E8" s="337"/>
    </row>
    <row r="9" spans="2:11" ht="12.75">
      <c r="B9" s="716" t="s">
        <v>357</v>
      </c>
      <c r="C9" s="717"/>
      <c r="D9" s="336"/>
      <c r="E9" s="336"/>
      <c r="G9" s="582" t="e">
        <f>IF(AND(J10="",J12=""),"","Разлика между БАЛАНСА и ПРИЛОЖЕНИЕТО!")</f>
        <v>#REF!</v>
      </c>
      <c r="H9" s="582"/>
      <c r="I9" s="582"/>
      <c r="J9" s="582"/>
      <c r="K9" s="582"/>
    </row>
    <row r="10" spans="2:11" ht="12.75">
      <c r="B10" s="716" t="s">
        <v>357</v>
      </c>
      <c r="C10" s="717"/>
      <c r="D10" s="337"/>
      <c r="E10" s="337"/>
      <c r="G10" s="583" t="e">
        <f>IF(J10="","","Разлика текущ период:")</f>
        <v>#REF!</v>
      </c>
      <c r="H10" s="583"/>
      <c r="I10" s="583"/>
      <c r="J10" s="427" t="e">
        <f>IF(D13=баланс!#REF!,"",D13-баланс!#REF!)</f>
        <v>#REF!</v>
      </c>
      <c r="K10" s="426"/>
    </row>
    <row r="11" spans="2:11" ht="12.75">
      <c r="B11" s="716" t="s">
        <v>357</v>
      </c>
      <c r="C11" s="717"/>
      <c r="D11" s="337"/>
      <c r="E11" s="337"/>
      <c r="G11" s="584" t="e">
        <f>IF(J10="","","Сума по баланс:")</f>
        <v>#REF!</v>
      </c>
      <c r="H11" s="584"/>
      <c r="I11" s="584"/>
      <c r="J11" s="428" t="e">
        <f>IF(J10="","",баланс!#REF!)</f>
        <v>#REF!</v>
      </c>
      <c r="K11" s="426"/>
    </row>
    <row r="12" spans="2:11" ht="12.75">
      <c r="B12" s="716" t="s">
        <v>357</v>
      </c>
      <c r="C12" s="717"/>
      <c r="D12" s="337"/>
      <c r="E12" s="337"/>
      <c r="G12" s="583" t="e">
        <f>IF(J12="","","Разлика предходен период:")</f>
        <v>#REF!</v>
      </c>
      <c r="H12" s="583"/>
      <c r="I12" s="583"/>
      <c r="J12" s="427" t="e">
        <f>IF(E13=баланс!#REF!,"",E13-баланс!#REF!)</f>
        <v>#REF!</v>
      </c>
      <c r="K12" s="426"/>
    </row>
    <row r="13" spans="2:11" ht="12.75">
      <c r="B13" s="718" t="s">
        <v>85</v>
      </c>
      <c r="C13" s="719"/>
      <c r="D13" s="338">
        <f>SUM(D3:D12)</f>
        <v>0</v>
      </c>
      <c r="E13" s="338">
        <f>SUM(E3:E12)</f>
        <v>0</v>
      </c>
      <c r="G13" s="584" t="e">
        <f>IF(J12="","","Сума по баланс:")</f>
        <v>#REF!</v>
      </c>
      <c r="H13" s="584"/>
      <c r="I13" s="584"/>
      <c r="J13" s="428" t="e">
        <f>IF(J12="","",баланс!#REF!)</f>
        <v>#REF!</v>
      </c>
      <c r="K13" s="426"/>
    </row>
    <row r="37" ht="12.75">
      <c r="E37" s="197"/>
    </row>
  </sheetData>
  <sheetProtection/>
  <mergeCells count="18">
    <mergeCell ref="B9:C9"/>
    <mergeCell ref="B10:C10"/>
    <mergeCell ref="G13:I13"/>
    <mergeCell ref="B13:C13"/>
    <mergeCell ref="B11:C11"/>
    <mergeCell ref="B12:C12"/>
    <mergeCell ref="G11:I11"/>
    <mergeCell ref="G12:I12"/>
    <mergeCell ref="G9:K9"/>
    <mergeCell ref="G10:I10"/>
    <mergeCell ref="B7:C7"/>
    <mergeCell ref="B8:C8"/>
    <mergeCell ref="B1:E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28">
      <selection activeCell="E47" sqref="E47"/>
    </sheetView>
  </sheetViews>
  <sheetFormatPr defaultColWidth="9.140625" defaultRowHeight="12.75"/>
  <cols>
    <col min="1" max="1" width="9.140625" style="197" customWidth="1"/>
    <col min="2" max="4" width="11.00390625" style="197" customWidth="1"/>
    <col min="5" max="6" width="12.140625" style="197" customWidth="1"/>
    <col min="7" max="16384" width="9.140625" style="197" customWidth="1"/>
  </cols>
  <sheetData>
    <row r="1" spans="2:6" ht="15">
      <c r="B1" s="616" t="s">
        <v>359</v>
      </c>
      <c r="C1" s="616"/>
      <c r="D1" s="616"/>
      <c r="E1" s="616"/>
      <c r="F1" s="616"/>
    </row>
    <row r="2" spans="2:6" ht="15">
      <c r="B2" s="599" t="s">
        <v>369</v>
      </c>
      <c r="C2" s="602"/>
      <c r="D2" s="600"/>
      <c r="E2" s="104" t="s">
        <v>740</v>
      </c>
      <c r="F2" s="104">
        <v>42369</v>
      </c>
    </row>
    <row r="3" spans="2:6" ht="12.75">
      <c r="B3" s="677" t="s">
        <v>362</v>
      </c>
      <c r="C3" s="708"/>
      <c r="D3" s="678"/>
      <c r="E3" s="450">
        <f>SUM(E4:E8)</f>
        <v>51606</v>
      </c>
      <c r="F3" s="450">
        <f>SUM(F4:F8)</f>
        <v>53979</v>
      </c>
    </row>
    <row r="4" spans="2:6" ht="12.75">
      <c r="B4" s="679" t="s">
        <v>631</v>
      </c>
      <c r="C4" s="706"/>
      <c r="D4" s="680"/>
      <c r="E4" s="449">
        <v>40865</v>
      </c>
      <c r="F4" s="449">
        <v>42125</v>
      </c>
    </row>
    <row r="5" spans="2:6" ht="12.75">
      <c r="B5" s="679" t="s">
        <v>632</v>
      </c>
      <c r="C5" s="706"/>
      <c r="D5" s="680"/>
      <c r="E5" s="449">
        <v>10741</v>
      </c>
      <c r="F5" s="449">
        <v>11854</v>
      </c>
    </row>
    <row r="6" spans="2:6" ht="12.75">
      <c r="B6" s="679" t="s">
        <v>363</v>
      </c>
      <c r="C6" s="706"/>
      <c r="D6" s="680"/>
      <c r="E6" s="449"/>
      <c r="F6" s="449"/>
    </row>
    <row r="7" spans="2:6" ht="12.75">
      <c r="B7" s="679" t="s">
        <v>363</v>
      </c>
      <c r="C7" s="706"/>
      <c r="D7" s="680"/>
      <c r="E7" s="449"/>
      <c r="F7" s="449"/>
    </row>
    <row r="8" spans="2:6" ht="12.75">
      <c r="B8" s="679" t="s">
        <v>363</v>
      </c>
      <c r="C8" s="706"/>
      <c r="D8" s="680"/>
      <c r="E8" s="449"/>
      <c r="F8" s="449"/>
    </row>
    <row r="9" spans="2:6" ht="12.75">
      <c r="B9" s="677" t="s">
        <v>364</v>
      </c>
      <c r="C9" s="708"/>
      <c r="D9" s="678"/>
      <c r="E9" s="450">
        <f>SUM(E10:E14)</f>
        <v>14</v>
      </c>
      <c r="F9" s="450">
        <f>SUM(F10:F14)</f>
        <v>13</v>
      </c>
    </row>
    <row r="10" spans="2:6" ht="12.75">
      <c r="B10" s="679" t="s">
        <v>636</v>
      </c>
      <c r="C10" s="706"/>
      <c r="D10" s="680"/>
      <c r="E10" s="449">
        <v>14</v>
      </c>
      <c r="F10" s="449">
        <v>13</v>
      </c>
    </row>
    <row r="11" spans="2:6" ht="12.75">
      <c r="B11" s="679" t="s">
        <v>639</v>
      </c>
      <c r="C11" s="706"/>
      <c r="D11" s="680"/>
      <c r="E11" s="449"/>
      <c r="F11" s="449"/>
    </row>
    <row r="12" spans="2:6" ht="12.75">
      <c r="B12" s="679" t="s">
        <v>363</v>
      </c>
      <c r="C12" s="706"/>
      <c r="D12" s="680"/>
      <c r="E12" s="449"/>
      <c r="F12" s="449"/>
    </row>
    <row r="13" spans="2:6" ht="12.75">
      <c r="B13" s="679" t="s">
        <v>363</v>
      </c>
      <c r="C13" s="706"/>
      <c r="D13" s="680"/>
      <c r="E13" s="449"/>
      <c r="F13" s="449"/>
    </row>
    <row r="14" spans="2:6" ht="12.75">
      <c r="B14" s="679" t="s">
        <v>363</v>
      </c>
      <c r="C14" s="706"/>
      <c r="D14" s="680"/>
      <c r="E14" s="449"/>
      <c r="F14" s="449"/>
    </row>
    <row r="15" spans="2:6" ht="12.75">
      <c r="B15" s="677" t="s">
        <v>365</v>
      </c>
      <c r="C15" s="708"/>
      <c r="D15" s="678"/>
      <c r="E15" s="450">
        <f>SUM(E16:E20)</f>
        <v>555</v>
      </c>
      <c r="F15" s="450">
        <f>SUM(F16:F20)</f>
        <v>569</v>
      </c>
    </row>
    <row r="16" spans="2:6" ht="12.75">
      <c r="B16" s="679" t="s">
        <v>633</v>
      </c>
      <c r="C16" s="706"/>
      <c r="D16" s="680"/>
      <c r="E16" s="449">
        <v>525</v>
      </c>
      <c r="F16" s="449">
        <v>514</v>
      </c>
    </row>
    <row r="17" spans="2:6" ht="12.75">
      <c r="B17" s="679" t="s">
        <v>651</v>
      </c>
      <c r="C17" s="706"/>
      <c r="D17" s="680"/>
      <c r="E17" s="449"/>
      <c r="F17" s="449">
        <v>31</v>
      </c>
    </row>
    <row r="18" spans="2:6" ht="12.75">
      <c r="B18" s="679" t="s">
        <v>652</v>
      </c>
      <c r="C18" s="706"/>
      <c r="D18" s="680"/>
      <c r="E18" s="449">
        <v>30</v>
      </c>
      <c r="F18" s="449">
        <v>24</v>
      </c>
    </row>
    <row r="19" spans="2:6" ht="12.75">
      <c r="B19" s="679" t="s">
        <v>363</v>
      </c>
      <c r="C19" s="706"/>
      <c r="D19" s="680"/>
      <c r="E19" s="449"/>
      <c r="F19" s="449"/>
    </row>
    <row r="20" spans="2:6" ht="12.75">
      <c r="B20" s="679" t="s">
        <v>363</v>
      </c>
      <c r="C20" s="706"/>
      <c r="D20" s="680"/>
      <c r="E20" s="449"/>
      <c r="F20" s="449"/>
    </row>
    <row r="21" spans="2:6" ht="12.75">
      <c r="B21" s="677" t="s">
        <v>366</v>
      </c>
      <c r="C21" s="708"/>
      <c r="D21" s="678"/>
      <c r="E21" s="450"/>
      <c r="F21" s="450"/>
    </row>
    <row r="22" spans="2:6" ht="12.75">
      <c r="B22" s="679" t="s">
        <v>367</v>
      </c>
      <c r="C22" s="706"/>
      <c r="D22" s="680"/>
      <c r="E22" s="449"/>
      <c r="F22" s="449"/>
    </row>
    <row r="23" spans="2:6" ht="12.75">
      <c r="B23" s="677" t="s">
        <v>368</v>
      </c>
      <c r="C23" s="708"/>
      <c r="D23" s="678"/>
      <c r="E23" s="450">
        <f>SUM(E24:E30)</f>
        <v>1086</v>
      </c>
      <c r="F23" s="450">
        <f>SUM(F24:F30)</f>
        <v>3901</v>
      </c>
    </row>
    <row r="24" spans="2:6" ht="12.75">
      <c r="B24" s="679" t="s">
        <v>682</v>
      </c>
      <c r="C24" s="706"/>
      <c r="D24" s="680"/>
      <c r="E24" s="449">
        <v>488</v>
      </c>
      <c r="F24" s="449">
        <v>2740</v>
      </c>
    </row>
    <row r="25" spans="2:6" ht="12.75">
      <c r="B25" s="679" t="s">
        <v>634</v>
      </c>
      <c r="C25" s="706"/>
      <c r="D25" s="680"/>
      <c r="E25" s="449"/>
      <c r="F25" s="449"/>
    </row>
    <row r="26" spans="2:12" ht="12.75">
      <c r="B26" s="679" t="s">
        <v>635</v>
      </c>
      <c r="C26" s="706"/>
      <c r="D26" s="680"/>
      <c r="E26" s="449"/>
      <c r="F26" s="449"/>
      <c r="H26" s="582">
        <f>IF(AND(K27="",K29=""),"","Разлика между ОПР и ПРИЛОЖЕНИЕТО!")</f>
      </c>
      <c r="I26" s="582"/>
      <c r="J26" s="582"/>
      <c r="K26" s="582"/>
      <c r="L26" s="582"/>
    </row>
    <row r="27" spans="2:12" ht="12.75">
      <c r="B27" s="679" t="s">
        <v>637</v>
      </c>
      <c r="C27" s="706"/>
      <c r="D27" s="680"/>
      <c r="E27" s="449">
        <v>27</v>
      </c>
      <c r="F27" s="449">
        <v>26</v>
      </c>
      <c r="H27" s="583">
        <f>IF(K27="","","Разлика текущ период:")</f>
      </c>
      <c r="I27" s="583"/>
      <c r="J27" s="583"/>
      <c r="K27" s="427">
        <f>IF(E31=ОПР!E8,"",E31-ОПР!E8)</f>
      </c>
      <c r="L27" s="426"/>
    </row>
    <row r="28" spans="2:12" ht="12.75">
      <c r="B28" s="679" t="s">
        <v>638</v>
      </c>
      <c r="C28" s="706"/>
      <c r="D28" s="680"/>
      <c r="E28" s="449">
        <v>517</v>
      </c>
      <c r="F28" s="449">
        <v>1089</v>
      </c>
      <c r="H28" s="584">
        <f>IF(K27="","","Приходи от продажби по ОПР:")</f>
      </c>
      <c r="I28" s="584"/>
      <c r="J28" s="584"/>
      <c r="K28" s="428">
        <f>IF(K27="","",ОПР!E8)</f>
      </c>
      <c r="L28" s="426"/>
    </row>
    <row r="29" spans="2:12" ht="12.75">
      <c r="B29" s="679" t="s">
        <v>683</v>
      </c>
      <c r="C29" s="706"/>
      <c r="D29" s="680"/>
      <c r="E29" s="449">
        <v>54</v>
      </c>
      <c r="F29" s="449">
        <v>46</v>
      </c>
      <c r="H29" s="583">
        <f>IF(K29="","","Разлика предходен период:")</f>
      </c>
      <c r="I29" s="583"/>
      <c r="J29" s="583"/>
      <c r="K29" s="427">
        <f>IF(F31=ОПР!G8,"",F31-ОПР!G8)</f>
      </c>
      <c r="L29" s="426"/>
    </row>
    <row r="30" spans="2:12" ht="12.75">
      <c r="B30" s="679" t="s">
        <v>689</v>
      </c>
      <c r="C30" s="706"/>
      <c r="D30" s="680"/>
      <c r="E30" s="449"/>
      <c r="F30" s="449"/>
      <c r="H30" s="584">
        <f>IF(K29="","","Приходи от продажби по ОПР:")</f>
      </c>
      <c r="I30" s="584"/>
      <c r="J30" s="584"/>
      <c r="K30" s="428">
        <f>IF(K29="","",ОПР!G8)</f>
      </c>
      <c r="L30" s="426"/>
    </row>
    <row r="31" spans="2:12" ht="12.75">
      <c r="B31" s="594" t="s">
        <v>85</v>
      </c>
      <c r="C31" s="595"/>
      <c r="D31" s="596"/>
      <c r="E31" s="342">
        <f>E3+E9+E15+E21+E23</f>
        <v>53261</v>
      </c>
      <c r="F31" s="342">
        <f>F3+F9+F15+F21+F23</f>
        <v>58462</v>
      </c>
      <c r="H31" s="447"/>
      <c r="I31" s="447"/>
      <c r="J31" s="447"/>
      <c r="K31" s="448"/>
      <c r="L31" s="293"/>
    </row>
    <row r="32" spans="2:12" ht="15">
      <c r="B32" s="707" t="s">
        <v>67</v>
      </c>
      <c r="C32" s="707"/>
      <c r="D32" s="707"/>
      <c r="E32" s="707"/>
      <c r="F32" s="707"/>
      <c r="H32" s="582" t="e">
        <f>IF(AND(K33="",K35=""),"","Разлика между ОПР и ПРИЛОЖЕНИЕТО!")</f>
        <v>#REF!</v>
      </c>
      <c r="I32" s="582"/>
      <c r="J32" s="582"/>
      <c r="K32" s="582"/>
      <c r="L32" s="582"/>
    </row>
    <row r="33" spans="2:12" ht="12.75">
      <c r="B33" s="599" t="s">
        <v>369</v>
      </c>
      <c r="C33" s="602"/>
      <c r="D33" s="600"/>
      <c r="E33" s="357" t="str">
        <f>E2</f>
        <v>31.12.2016г.</v>
      </c>
      <c r="F33" s="486">
        <f>F2</f>
        <v>42369</v>
      </c>
      <c r="H33" s="583" t="e">
        <f>IF(K33="","","Разлика текущ период:")</f>
        <v>#REF!</v>
      </c>
      <c r="I33" s="583"/>
      <c r="J33" s="583"/>
      <c r="K33" s="427" t="e">
        <f>IF(E36=ОПР!#REF!,"",E36-ОПР!#REF!)</f>
        <v>#REF!</v>
      </c>
      <c r="L33" s="426"/>
    </row>
    <row r="34" spans="2:12" ht="12.75">
      <c r="B34" s="679" t="s">
        <v>336</v>
      </c>
      <c r="C34" s="706"/>
      <c r="D34" s="680"/>
      <c r="E34" s="346"/>
      <c r="F34" s="346"/>
      <c r="H34" s="584" t="e">
        <f>IF(K33="","","Приходи от дарения по ОПР:")</f>
        <v>#REF!</v>
      </c>
      <c r="I34" s="584"/>
      <c r="J34" s="584"/>
      <c r="K34" s="428" t="e">
        <f>IF(K33="","",ОПР!#REF!)</f>
        <v>#REF!</v>
      </c>
      <c r="L34" s="426"/>
    </row>
    <row r="35" spans="2:12" ht="12.75">
      <c r="B35" s="679" t="s">
        <v>337</v>
      </c>
      <c r="C35" s="706"/>
      <c r="D35" s="680"/>
      <c r="E35" s="346"/>
      <c r="F35" s="346"/>
      <c r="H35" s="583" t="e">
        <f>IF(K35="","","Разлика предходен период:")</f>
        <v>#REF!</v>
      </c>
      <c r="I35" s="583"/>
      <c r="J35" s="583"/>
      <c r="K35" s="427" t="e">
        <f>IF(F36=ОПР!#REF!,"",F36-ОПР!#REF!)</f>
        <v>#REF!</v>
      </c>
      <c r="L35" s="426"/>
    </row>
    <row r="36" spans="2:12" ht="12.75">
      <c r="B36" s="594" t="s">
        <v>85</v>
      </c>
      <c r="C36" s="595"/>
      <c r="D36" s="596"/>
      <c r="E36" s="342">
        <f>SUM(E34:E35)</f>
        <v>0</v>
      </c>
      <c r="F36" s="342">
        <f>SUM(F34:F35)</f>
        <v>0</v>
      </c>
      <c r="H36" s="584" t="e">
        <f>IF(K35="","","Приходи от дарения по ОПР:")</f>
        <v>#REF!</v>
      </c>
      <c r="I36" s="584"/>
      <c r="J36" s="584"/>
      <c r="K36" s="428" t="e">
        <f>IF(K35="","",ОПР!#REF!)</f>
        <v>#REF!</v>
      </c>
      <c r="L36" s="426"/>
    </row>
    <row r="37" spans="2:6" ht="15">
      <c r="B37" s="707" t="s">
        <v>56</v>
      </c>
      <c r="C37" s="707"/>
      <c r="D37" s="707"/>
      <c r="E37" s="707"/>
      <c r="F37" s="707"/>
    </row>
    <row r="38" spans="2:6" ht="12.75">
      <c r="B38" s="599" t="s">
        <v>369</v>
      </c>
      <c r="C38" s="602"/>
      <c r="D38" s="600"/>
      <c r="E38" s="357" t="str">
        <f>E33</f>
        <v>31.12.2016г.</v>
      </c>
      <c r="F38" s="486">
        <f>F33</f>
        <v>42369</v>
      </c>
    </row>
    <row r="39" spans="2:6" ht="12.75">
      <c r="B39" s="677" t="s">
        <v>370</v>
      </c>
      <c r="C39" s="708"/>
      <c r="D39" s="678"/>
      <c r="E39" s="344"/>
      <c r="F39" s="344"/>
    </row>
    <row r="40" spans="2:6" ht="12.75">
      <c r="B40" s="677" t="s">
        <v>371</v>
      </c>
      <c r="C40" s="708"/>
      <c r="D40" s="678"/>
      <c r="E40" s="345">
        <f>SUM(E41:E45)</f>
        <v>36</v>
      </c>
      <c r="F40" s="450">
        <f>SUM(F41:F45)</f>
        <v>0</v>
      </c>
    </row>
    <row r="41" spans="2:6" ht="12.75">
      <c r="B41" s="679" t="s">
        <v>372</v>
      </c>
      <c r="C41" s="706"/>
      <c r="D41" s="680"/>
      <c r="E41" s="346">
        <v>36</v>
      </c>
      <c r="F41" s="449"/>
    </row>
    <row r="42" spans="2:6" ht="12.75">
      <c r="B42" s="679" t="s">
        <v>373</v>
      </c>
      <c r="C42" s="706"/>
      <c r="D42" s="680"/>
      <c r="E42" s="346"/>
      <c r="F42" s="449"/>
    </row>
    <row r="43" spans="2:6" ht="12.75">
      <c r="B43" s="679" t="s">
        <v>375</v>
      </c>
      <c r="C43" s="706"/>
      <c r="D43" s="680"/>
      <c r="E43" s="346"/>
      <c r="F43" s="449"/>
    </row>
    <row r="44" spans="2:6" ht="12.75">
      <c r="B44" s="679" t="s">
        <v>376</v>
      </c>
      <c r="C44" s="706"/>
      <c r="D44" s="680"/>
      <c r="E44" s="346"/>
      <c r="F44" s="346"/>
    </row>
    <row r="45" spans="2:12" ht="12.75">
      <c r="B45" s="679" t="s">
        <v>374</v>
      </c>
      <c r="C45" s="706"/>
      <c r="D45" s="680"/>
      <c r="E45" s="346"/>
      <c r="F45" s="449"/>
      <c r="H45" s="582">
        <f>IF(AND(K46="",K48=""),"","Разлика между ОПР и ПРИЛОЖЕНИЕТО!")</f>
      </c>
      <c r="I45" s="582"/>
      <c r="J45" s="582"/>
      <c r="K45" s="582"/>
      <c r="L45" s="582"/>
    </row>
    <row r="46" spans="2:12" ht="12.75">
      <c r="B46" s="677" t="s">
        <v>360</v>
      </c>
      <c r="C46" s="708"/>
      <c r="D46" s="678"/>
      <c r="E46" s="345"/>
      <c r="F46" s="450"/>
      <c r="H46" s="583">
        <f>IF(K46="","","Разлика текущ период:")</f>
      </c>
      <c r="I46" s="583"/>
      <c r="J46" s="583"/>
      <c r="K46" s="427">
        <f>IF(E49=ОПР!E13,"",E49-ОПР!E13)</f>
      </c>
      <c r="L46" s="426"/>
    </row>
    <row r="47" spans="2:12" ht="12.75">
      <c r="B47" s="677" t="s">
        <v>361</v>
      </c>
      <c r="C47" s="708"/>
      <c r="D47" s="678"/>
      <c r="E47" s="345">
        <v>17</v>
      </c>
      <c r="F47" s="450"/>
      <c r="H47" s="584">
        <f>IF(K46="","","Финансови приходи по ОПР:")</f>
      </c>
      <c r="I47" s="584"/>
      <c r="J47" s="584"/>
      <c r="K47" s="428">
        <f>IF(K46="","",ОПР!E13)</f>
      </c>
      <c r="L47" s="426"/>
    </row>
    <row r="48" spans="2:12" ht="12.75">
      <c r="B48" s="677" t="s">
        <v>117</v>
      </c>
      <c r="C48" s="708"/>
      <c r="D48" s="678"/>
      <c r="E48" s="345"/>
      <c r="F48" s="450">
        <v>54</v>
      </c>
      <c r="H48" s="583">
        <f>IF(K48="","","Разлика предходен период:")</f>
      </c>
      <c r="I48" s="583"/>
      <c r="J48" s="583"/>
      <c r="K48" s="427">
        <f>IF(F49=ОПР!G13,"",F49-ОПР!G13)</f>
      </c>
      <c r="L48" s="426"/>
    </row>
    <row r="49" spans="2:12" ht="12.75">
      <c r="B49" s="594" t="s">
        <v>85</v>
      </c>
      <c r="C49" s="595"/>
      <c r="D49" s="596"/>
      <c r="E49" s="342">
        <f>SUM(E39:E48)-E40</f>
        <v>53</v>
      </c>
      <c r="F49" s="450">
        <f>SUM(F39:F48)-F40</f>
        <v>54</v>
      </c>
      <c r="H49" s="584">
        <f>IF(K48="","","Финансови приходи по ОПР:")</f>
      </c>
      <c r="I49" s="584"/>
      <c r="J49" s="584"/>
      <c r="K49" s="428">
        <f>IF(K48="","",ОПР!G13)</f>
      </c>
      <c r="L49" s="426"/>
    </row>
  </sheetData>
  <sheetProtection/>
  <mergeCells count="64">
    <mergeCell ref="B10:D10"/>
    <mergeCell ref="B11:D11"/>
    <mergeCell ref="B16:D16"/>
    <mergeCell ref="B13:D13"/>
    <mergeCell ref="B12:D12"/>
    <mergeCell ref="B5:D5"/>
    <mergeCell ref="B8:D8"/>
    <mergeCell ref="B22:D22"/>
    <mergeCell ref="B14:D14"/>
    <mergeCell ref="B15:D15"/>
    <mergeCell ref="B18:D18"/>
    <mergeCell ref="B19:D19"/>
    <mergeCell ref="B17:D17"/>
    <mergeCell ref="B21:D21"/>
    <mergeCell ref="B20:D20"/>
    <mergeCell ref="B24:D24"/>
    <mergeCell ref="B25:D25"/>
    <mergeCell ref="B26:D26"/>
    <mergeCell ref="B1:F1"/>
    <mergeCell ref="B2:D2"/>
    <mergeCell ref="B3:D3"/>
    <mergeCell ref="B9:D9"/>
    <mergeCell ref="B4:D4"/>
    <mergeCell ref="B6:D6"/>
    <mergeCell ref="B7:D7"/>
    <mergeCell ref="B42:D42"/>
    <mergeCell ref="B37:F37"/>
    <mergeCell ref="B38:D38"/>
    <mergeCell ref="B34:D34"/>
    <mergeCell ref="B31:D31"/>
    <mergeCell ref="B23:D23"/>
    <mergeCell ref="B28:D28"/>
    <mergeCell ref="B27:D27"/>
    <mergeCell ref="B30:D30"/>
    <mergeCell ref="B29:D29"/>
    <mergeCell ref="B32:F32"/>
    <mergeCell ref="B44:D44"/>
    <mergeCell ref="H26:L26"/>
    <mergeCell ref="H27:J27"/>
    <mergeCell ref="H35:J35"/>
    <mergeCell ref="H36:J36"/>
    <mergeCell ref="H28:J28"/>
    <mergeCell ref="H29:J29"/>
    <mergeCell ref="B43:D43"/>
    <mergeCell ref="B36:D36"/>
    <mergeCell ref="H30:J30"/>
    <mergeCell ref="H49:J49"/>
    <mergeCell ref="H45:L45"/>
    <mergeCell ref="H47:J47"/>
    <mergeCell ref="H32:L32"/>
    <mergeCell ref="H48:J48"/>
    <mergeCell ref="H33:J33"/>
    <mergeCell ref="H34:J34"/>
    <mergeCell ref="B41:D41"/>
    <mergeCell ref="B35:D35"/>
    <mergeCell ref="B39:D39"/>
    <mergeCell ref="B40:D40"/>
    <mergeCell ref="B33:D33"/>
    <mergeCell ref="B49:D49"/>
    <mergeCell ref="B46:D46"/>
    <mergeCell ref="B47:D47"/>
    <mergeCell ref="B48:D48"/>
    <mergeCell ref="B45:D45"/>
    <mergeCell ref="H46:J4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20"/>
  <sheetViews>
    <sheetView zoomScalePageLayoutView="0" workbookViewId="0" topLeftCell="A97">
      <selection activeCell="F107" sqref="F107:F110"/>
    </sheetView>
  </sheetViews>
  <sheetFormatPr defaultColWidth="9.140625" defaultRowHeight="12.75"/>
  <cols>
    <col min="1" max="1" width="9.140625" style="197" customWidth="1"/>
    <col min="2" max="4" width="13.140625" style="197" customWidth="1"/>
    <col min="5" max="6" width="12.140625" style="197" customWidth="1"/>
    <col min="7" max="16384" width="9.140625" style="197" customWidth="1"/>
  </cols>
  <sheetData>
    <row r="1" spans="2:6" ht="15">
      <c r="B1" s="616" t="s">
        <v>381</v>
      </c>
      <c r="C1" s="616"/>
      <c r="D1" s="616"/>
      <c r="E1" s="616"/>
      <c r="F1" s="616"/>
    </row>
    <row r="2" spans="2:6" ht="12.75">
      <c r="B2" s="725" t="s">
        <v>115</v>
      </c>
      <c r="C2" s="726"/>
      <c r="D2" s="727"/>
      <c r="E2" s="343">
        <v>42735</v>
      </c>
      <c r="F2" s="343">
        <v>42369</v>
      </c>
    </row>
    <row r="3" spans="2:6" ht="12.75">
      <c r="B3" s="712" t="s">
        <v>93</v>
      </c>
      <c r="C3" s="724"/>
      <c r="D3" s="713"/>
      <c r="E3" s="449">
        <v>269</v>
      </c>
      <c r="F3" s="449">
        <v>239</v>
      </c>
    </row>
    <row r="4" spans="2:6" ht="12.75">
      <c r="B4" s="712" t="s">
        <v>116</v>
      </c>
      <c r="C4" s="724"/>
      <c r="D4" s="713"/>
      <c r="E4" s="449">
        <v>47</v>
      </c>
      <c r="F4" s="449">
        <v>28</v>
      </c>
    </row>
    <row r="5" spans="2:6" ht="12.75">
      <c r="B5" s="712" t="s">
        <v>382</v>
      </c>
      <c r="C5" s="724"/>
      <c r="D5" s="713"/>
      <c r="E5" s="449">
        <v>31056</v>
      </c>
      <c r="F5" s="449">
        <v>44263</v>
      </c>
    </row>
    <row r="6" spans="2:6" ht="12.75">
      <c r="B6" s="712" t="s">
        <v>296</v>
      </c>
      <c r="C6" s="724"/>
      <c r="D6" s="713"/>
      <c r="E6" s="449">
        <v>501</v>
      </c>
      <c r="F6" s="449">
        <v>420</v>
      </c>
    </row>
    <row r="7" spans="2:6" ht="12.75">
      <c r="B7" s="712" t="s">
        <v>383</v>
      </c>
      <c r="C7" s="724"/>
      <c r="D7" s="713"/>
      <c r="E7" s="449">
        <v>9</v>
      </c>
      <c r="F7" s="449">
        <v>5</v>
      </c>
    </row>
    <row r="8" spans="2:6" ht="12.75">
      <c r="B8" s="711" t="s">
        <v>384</v>
      </c>
      <c r="C8" s="711"/>
      <c r="D8" s="711"/>
      <c r="E8" s="449">
        <v>12</v>
      </c>
      <c r="F8" s="449">
        <v>13</v>
      </c>
    </row>
    <row r="9" spans="2:6" ht="12.75">
      <c r="B9" s="712" t="s">
        <v>385</v>
      </c>
      <c r="C9" s="724"/>
      <c r="D9" s="713"/>
      <c r="E9" s="449">
        <v>718</v>
      </c>
      <c r="F9" s="449">
        <v>775</v>
      </c>
    </row>
    <row r="10" spans="2:6" ht="12.75">
      <c r="B10" s="711" t="s">
        <v>386</v>
      </c>
      <c r="C10" s="711"/>
      <c r="D10" s="711"/>
      <c r="E10" s="449">
        <v>562</v>
      </c>
      <c r="F10" s="449">
        <v>612</v>
      </c>
    </row>
    <row r="11" spans="2:6" ht="12.75">
      <c r="B11" s="712" t="s">
        <v>387</v>
      </c>
      <c r="C11" s="724"/>
      <c r="D11" s="713"/>
      <c r="E11" s="449">
        <v>13</v>
      </c>
      <c r="F11" s="449">
        <v>10</v>
      </c>
    </row>
    <row r="12" spans="2:6" ht="12.75">
      <c r="B12" s="712" t="s">
        <v>94</v>
      </c>
      <c r="C12" s="724"/>
      <c r="D12" s="713"/>
      <c r="E12" s="449">
        <v>56</v>
      </c>
      <c r="F12" s="449">
        <v>151</v>
      </c>
    </row>
    <row r="13" spans="2:6" ht="12.75">
      <c r="B13" s="712" t="s">
        <v>436</v>
      </c>
      <c r="C13" s="724"/>
      <c r="D13" s="713"/>
      <c r="E13" s="449"/>
      <c r="F13" s="449"/>
    </row>
    <row r="14" spans="2:6" ht="12.75">
      <c r="B14" s="712" t="s">
        <v>684</v>
      </c>
      <c r="C14" s="724"/>
      <c r="D14" s="713"/>
      <c r="E14" s="449">
        <v>17</v>
      </c>
      <c r="F14" s="449">
        <v>14</v>
      </c>
    </row>
    <row r="15" spans="2:12" ht="12.75">
      <c r="B15" s="712" t="s">
        <v>420</v>
      </c>
      <c r="C15" s="724"/>
      <c r="D15" s="713"/>
      <c r="E15" s="449"/>
      <c r="F15" s="449"/>
      <c r="H15" s="582">
        <f>IF(AND(K16="",K18=""),"","Разлика между ОПР и ПРИЛОЖЕНИЕТО!")</f>
      </c>
      <c r="I15" s="582"/>
      <c r="J15" s="582"/>
      <c r="K15" s="582"/>
      <c r="L15" s="582"/>
    </row>
    <row r="16" spans="2:12" ht="12.75">
      <c r="B16" s="712" t="s">
        <v>420</v>
      </c>
      <c r="C16" s="724"/>
      <c r="D16" s="713"/>
      <c r="E16" s="449"/>
      <c r="F16" s="449"/>
      <c r="H16" s="583">
        <f>IF(K16="","","Разлика текущ период:")</f>
      </c>
      <c r="I16" s="583"/>
      <c r="J16" s="583"/>
      <c r="K16" s="427"/>
      <c r="L16" s="426"/>
    </row>
    <row r="17" spans="2:12" ht="12.75">
      <c r="B17" s="712" t="s">
        <v>420</v>
      </c>
      <c r="C17" s="724"/>
      <c r="D17" s="713"/>
      <c r="E17" s="449"/>
      <c r="F17" s="449"/>
      <c r="H17" s="584">
        <f>IF(K16="","","Разходи за материали по ОПР:")</f>
      </c>
      <c r="I17" s="584"/>
      <c r="J17" s="584"/>
      <c r="K17" s="428">
        <f>IF(K16="","",ОПР!E19*-1)</f>
      </c>
      <c r="L17" s="426"/>
    </row>
    <row r="18" spans="2:12" ht="12.75">
      <c r="B18" s="712" t="s">
        <v>420</v>
      </c>
      <c r="C18" s="724"/>
      <c r="D18" s="713"/>
      <c r="E18" s="449"/>
      <c r="F18" s="449"/>
      <c r="H18" s="583">
        <f>IF(K18="","","Разлика предходен период:")</f>
      </c>
      <c r="I18" s="583"/>
      <c r="J18" s="583"/>
      <c r="K18" s="427">
        <f>IF(F19=ABS(ОПР!G19),"",F19-ABS(ОПР!G19))</f>
      </c>
      <c r="L18" s="426"/>
    </row>
    <row r="19" spans="2:12" ht="12.75">
      <c r="B19" s="594" t="s">
        <v>85</v>
      </c>
      <c r="C19" s="595"/>
      <c r="D19" s="596"/>
      <c r="E19" s="342">
        <f>SUM(E3:E18)</f>
        <v>33260</v>
      </c>
      <c r="F19" s="342">
        <f>SUM(F3:F18)</f>
        <v>46530</v>
      </c>
      <c r="H19" s="584">
        <f>IF(K18="","","Разходи за материали по ОПР:")</f>
      </c>
      <c r="I19" s="584"/>
      <c r="J19" s="584"/>
      <c r="K19" s="428">
        <f>IF(K18="","",ABS(ОПР!G19))</f>
      </c>
      <c r="L19" s="426"/>
    </row>
    <row r="20" spans="2:6" ht="15">
      <c r="B20" s="616" t="s">
        <v>1</v>
      </c>
      <c r="C20" s="616"/>
      <c r="D20" s="616"/>
      <c r="E20" s="616"/>
      <c r="F20" s="616"/>
    </row>
    <row r="21" spans="2:9" ht="12.75">
      <c r="B21" s="725" t="s">
        <v>115</v>
      </c>
      <c r="C21" s="726"/>
      <c r="D21" s="727"/>
      <c r="E21" s="459">
        <f>E$2</f>
        <v>42735</v>
      </c>
      <c r="F21" s="459">
        <f>F$2</f>
        <v>42369</v>
      </c>
      <c r="I21" s="387"/>
    </row>
    <row r="22" spans="2:9" ht="12.75">
      <c r="B22" s="712" t="s">
        <v>388</v>
      </c>
      <c r="C22" s="724"/>
      <c r="D22" s="713"/>
      <c r="E22" s="503">
        <v>35</v>
      </c>
      <c r="F22" s="449">
        <v>52</v>
      </c>
      <c r="I22" s="387"/>
    </row>
    <row r="23" spans="2:9" ht="12.75">
      <c r="B23" s="712" t="s">
        <v>683</v>
      </c>
      <c r="C23" s="724"/>
      <c r="D23" s="713"/>
      <c r="E23" s="503">
        <v>1768</v>
      </c>
      <c r="F23" s="449">
        <v>2</v>
      </c>
      <c r="I23" s="387"/>
    </row>
    <row r="24" spans="2:9" ht="12.75">
      <c r="B24" s="712" t="s">
        <v>389</v>
      </c>
      <c r="C24" s="724"/>
      <c r="D24" s="713"/>
      <c r="E24" s="449">
        <v>107</v>
      </c>
      <c r="F24" s="449">
        <v>979</v>
      </c>
      <c r="I24" s="387"/>
    </row>
    <row r="25" spans="2:9" ht="12.75">
      <c r="B25" s="712" t="s">
        <v>716</v>
      </c>
      <c r="C25" s="724"/>
      <c r="D25" s="713"/>
      <c r="E25" s="503">
        <v>2027</v>
      </c>
      <c r="F25" s="449">
        <v>606</v>
      </c>
      <c r="I25" s="387"/>
    </row>
    <row r="26" spans="2:9" ht="12.75">
      <c r="B26" s="712" t="s">
        <v>390</v>
      </c>
      <c r="C26" s="724"/>
      <c r="D26" s="713"/>
      <c r="E26" s="503">
        <v>48</v>
      </c>
      <c r="F26" s="449">
        <v>46</v>
      </c>
      <c r="I26" s="387"/>
    </row>
    <row r="27" spans="2:9" ht="12.75">
      <c r="B27" s="711" t="s">
        <v>391</v>
      </c>
      <c r="C27" s="711"/>
      <c r="D27" s="711"/>
      <c r="E27" s="503">
        <v>78</v>
      </c>
      <c r="F27" s="449">
        <v>27</v>
      </c>
      <c r="I27" s="387"/>
    </row>
    <row r="28" spans="2:9" ht="12.75">
      <c r="B28" s="712" t="s">
        <v>392</v>
      </c>
      <c r="C28" s="724"/>
      <c r="D28" s="713"/>
      <c r="E28" s="449">
        <v>26</v>
      </c>
      <c r="F28" s="449">
        <v>81</v>
      </c>
      <c r="I28" s="387"/>
    </row>
    <row r="29" spans="2:9" ht="12.75">
      <c r="B29" s="711" t="s">
        <v>393</v>
      </c>
      <c r="C29" s="711"/>
      <c r="D29" s="711"/>
      <c r="E29" s="503">
        <v>108</v>
      </c>
      <c r="F29" s="449">
        <v>154</v>
      </c>
      <c r="I29" s="387"/>
    </row>
    <row r="30" spans="2:9" ht="12.75">
      <c r="B30" s="712" t="s">
        <v>394</v>
      </c>
      <c r="C30" s="724"/>
      <c r="D30" s="713"/>
      <c r="E30" s="503">
        <v>63</v>
      </c>
      <c r="F30" s="449">
        <v>51</v>
      </c>
      <c r="I30" s="387"/>
    </row>
    <row r="31" spans="2:9" ht="12.75">
      <c r="B31" s="712" t="s">
        <v>395</v>
      </c>
      <c r="C31" s="724"/>
      <c r="D31" s="713"/>
      <c r="E31" s="503">
        <v>118</v>
      </c>
      <c r="F31" s="449">
        <v>110</v>
      </c>
      <c r="I31" s="387"/>
    </row>
    <row r="32" spans="2:9" ht="12.75">
      <c r="B32" s="712" t="s">
        <v>396</v>
      </c>
      <c r="C32" s="724"/>
      <c r="D32" s="713"/>
      <c r="E32" s="503">
        <v>73</v>
      </c>
      <c r="F32" s="449">
        <v>131</v>
      </c>
      <c r="I32" s="387"/>
    </row>
    <row r="33" spans="2:9" ht="12.75">
      <c r="B33" s="712" t="s">
        <v>397</v>
      </c>
      <c r="C33" s="724"/>
      <c r="D33" s="713"/>
      <c r="E33" s="449">
        <v>2</v>
      </c>
      <c r="F33" s="449">
        <v>12</v>
      </c>
      <c r="I33" s="387"/>
    </row>
    <row r="34" spans="2:9" ht="12.75">
      <c r="B34" s="712" t="s">
        <v>653</v>
      </c>
      <c r="C34" s="724"/>
      <c r="D34" s="713"/>
      <c r="E34" s="503">
        <v>480</v>
      </c>
      <c r="F34" s="449">
        <v>514</v>
      </c>
      <c r="I34" s="387"/>
    </row>
    <row r="35" spans="2:12" ht="12.75">
      <c r="B35" s="712" t="s">
        <v>654</v>
      </c>
      <c r="C35" s="724"/>
      <c r="D35" s="713"/>
      <c r="E35" s="503">
        <v>34</v>
      </c>
      <c r="F35" s="449">
        <v>78</v>
      </c>
      <c r="H35" s="582">
        <f>IF(AND(K36="",K38=""),"","Разлика между ОПР и ПРИЛОЖЕНИЕТО!")</f>
      </c>
      <c r="I35" s="582"/>
      <c r="J35" s="582"/>
      <c r="K35" s="582"/>
      <c r="L35" s="582"/>
    </row>
    <row r="36" spans="2:12" ht="12.75">
      <c r="B36" s="712" t="s">
        <v>665</v>
      </c>
      <c r="C36" s="724"/>
      <c r="D36" s="713"/>
      <c r="E36" s="503">
        <v>42</v>
      </c>
      <c r="F36" s="449">
        <v>74</v>
      </c>
      <c r="H36" s="583">
        <f>IF(K36="","","Разлика текущ период:")</f>
      </c>
      <c r="I36" s="583"/>
      <c r="J36" s="583"/>
      <c r="K36" s="427">
        <f>IF(E39=ABS(ОПР!E20),"",E39-ABS(ОПР!E20))</f>
      </c>
      <c r="L36" s="426"/>
    </row>
    <row r="37" spans="2:12" ht="12.75">
      <c r="B37" s="712" t="s">
        <v>685</v>
      </c>
      <c r="C37" s="724"/>
      <c r="D37" s="713"/>
      <c r="E37" s="503">
        <v>358</v>
      </c>
      <c r="F37" s="449">
        <v>725</v>
      </c>
      <c r="H37" s="584">
        <f>IF(K36="","","Разходи за услуги по ОПР:")</f>
      </c>
      <c r="I37" s="584"/>
      <c r="J37" s="584"/>
      <c r="K37" s="428">
        <f>IF(K36="","",ABS(ОПР!E20))</f>
      </c>
      <c r="L37" s="426"/>
    </row>
    <row r="38" spans="2:12" ht="12.75">
      <c r="B38" s="712" t="s">
        <v>690</v>
      </c>
      <c r="C38" s="724"/>
      <c r="D38" s="713"/>
      <c r="E38" s="503">
        <v>163</v>
      </c>
      <c r="F38" s="449">
        <v>344</v>
      </c>
      <c r="H38" s="583">
        <f>IF(K38="","","Разлика предходен период:")</f>
      </c>
      <c r="I38" s="583"/>
      <c r="J38" s="583"/>
      <c r="K38" s="427">
        <f>IF(F39=ABS(ОПР!G20),"",F39-ABS(ОПР!G20))</f>
      </c>
      <c r="L38" s="426"/>
    </row>
    <row r="39" spans="2:12" ht="12.75">
      <c r="B39" s="594" t="s">
        <v>85</v>
      </c>
      <c r="C39" s="595"/>
      <c r="D39" s="596"/>
      <c r="E39" s="342">
        <f>SUM(E22:E38)</f>
        <v>5530</v>
      </c>
      <c r="F39" s="342">
        <f>SUM(F22:F38)</f>
        <v>3986</v>
      </c>
      <c r="H39" s="584">
        <f>IF(K38="","","Разходи за услуги по ОПР:")</f>
      </c>
      <c r="I39" s="584"/>
      <c r="J39" s="584"/>
      <c r="K39" s="428">
        <f>IF(K38="","",ABS(ОПР!G20))</f>
      </c>
      <c r="L39" s="426"/>
    </row>
    <row r="40" spans="2:9" ht="15">
      <c r="B40" s="616" t="s">
        <v>2</v>
      </c>
      <c r="C40" s="616"/>
      <c r="D40" s="616"/>
      <c r="E40" s="616"/>
      <c r="F40" s="616"/>
      <c r="I40" s="387"/>
    </row>
    <row r="41" spans="2:9" ht="15">
      <c r="B41" s="725" t="s">
        <v>115</v>
      </c>
      <c r="C41" s="726"/>
      <c r="D41" s="727"/>
      <c r="E41" s="104">
        <f>E21</f>
        <v>42735</v>
      </c>
      <c r="F41" s="459">
        <f>F21</f>
        <v>42369</v>
      </c>
      <c r="I41" s="387"/>
    </row>
    <row r="42" spans="2:9" ht="12.75">
      <c r="B42" s="709" t="s">
        <v>421</v>
      </c>
      <c r="C42" s="723"/>
      <c r="D42" s="710"/>
      <c r="E42" s="450">
        <f>SUM(E43:E44)</f>
        <v>4098</v>
      </c>
      <c r="F42" s="450">
        <f>SUM(F43:F44)</f>
        <v>4171</v>
      </c>
      <c r="I42" s="387"/>
    </row>
    <row r="43" spans="2:9" ht="12.75">
      <c r="B43" s="712" t="s">
        <v>398</v>
      </c>
      <c r="C43" s="724"/>
      <c r="D43" s="713"/>
      <c r="E43" s="449">
        <v>4098</v>
      </c>
      <c r="F43" s="449">
        <v>4171</v>
      </c>
      <c r="I43" s="387"/>
    </row>
    <row r="44" spans="2:12" ht="12.75">
      <c r="B44" s="712" t="s">
        <v>399</v>
      </c>
      <c r="C44" s="724"/>
      <c r="D44" s="713"/>
      <c r="E44" s="449"/>
      <c r="F44" s="449"/>
      <c r="H44" s="582">
        <f>IF(AND(K45="",K47=""),"","Разлика между ОПР и ПРИЛОЖЕНИЕТО!")</f>
      </c>
      <c r="I44" s="582"/>
      <c r="J44" s="582"/>
      <c r="K44" s="582"/>
      <c r="L44" s="582"/>
    </row>
    <row r="45" spans="2:12" ht="12.75">
      <c r="B45" s="709" t="s">
        <v>422</v>
      </c>
      <c r="C45" s="723"/>
      <c r="D45" s="710"/>
      <c r="E45" s="450">
        <f>SUM(E46:E47)</f>
        <v>27</v>
      </c>
      <c r="F45" s="450">
        <f>SUM(F46:F47)</f>
        <v>32</v>
      </c>
      <c r="H45" s="583">
        <f>IF(K45="","","Разлика текущ период:")</f>
      </c>
      <c r="I45" s="583"/>
      <c r="J45" s="583"/>
      <c r="K45" s="427">
        <f>IF(E48=ABS(ОПР!E21),"",E48-ABS(ОПР!E21))</f>
      </c>
      <c r="L45" s="426"/>
    </row>
    <row r="46" spans="2:12" ht="12.75">
      <c r="B46" s="712" t="s">
        <v>398</v>
      </c>
      <c r="C46" s="724"/>
      <c r="D46" s="713"/>
      <c r="E46" s="449">
        <v>27</v>
      </c>
      <c r="F46" s="449">
        <v>32</v>
      </c>
      <c r="H46" s="584">
        <f>IF(K45="","","Разходи за амор-ции по ОПР:")</f>
      </c>
      <c r="I46" s="584"/>
      <c r="J46" s="584"/>
      <c r="K46" s="428">
        <f>IF(K45="","",ABS(ОПР!E21))</f>
      </c>
      <c r="L46" s="426"/>
    </row>
    <row r="47" spans="2:12" ht="12.75">
      <c r="B47" s="712" t="s">
        <v>399</v>
      </c>
      <c r="C47" s="724"/>
      <c r="D47" s="713"/>
      <c r="E47" s="449"/>
      <c r="F47" s="449"/>
      <c r="H47" s="583">
        <f>IF(K47="","","Разлика предходен период:")</f>
      </c>
      <c r="I47" s="583"/>
      <c r="J47" s="583"/>
      <c r="K47" s="427">
        <f>IF(F48=ABS(ОПР!G21),"",F48-ABS(ОПР!G21))</f>
      </c>
      <c r="L47" s="426"/>
    </row>
    <row r="48" spans="2:12" ht="12.75">
      <c r="B48" s="594" t="s">
        <v>85</v>
      </c>
      <c r="C48" s="595"/>
      <c r="D48" s="596"/>
      <c r="E48" s="342">
        <f>E42+E45</f>
        <v>4125</v>
      </c>
      <c r="F48" s="342">
        <f>F42+F45</f>
        <v>4203</v>
      </c>
      <c r="H48" s="584">
        <f>IF(K47="","","Разходи за амор-ции по ОПР:")</f>
      </c>
      <c r="I48" s="584"/>
      <c r="J48" s="584"/>
      <c r="K48" s="428">
        <f>IF(K47="","",ABS(ОПР!G21))</f>
      </c>
      <c r="L48" s="426"/>
    </row>
    <row r="49" spans="2:6" ht="15">
      <c r="B49" s="616" t="s">
        <v>400</v>
      </c>
      <c r="C49" s="616"/>
      <c r="D49" s="616"/>
      <c r="E49" s="616"/>
      <c r="F49" s="616"/>
    </row>
    <row r="50" spans="2:6" ht="12.75">
      <c r="B50" s="725" t="s">
        <v>401</v>
      </c>
      <c r="C50" s="726"/>
      <c r="D50" s="727"/>
      <c r="E50" s="459">
        <f>E$2</f>
        <v>42735</v>
      </c>
      <c r="F50" s="459">
        <f>F$2</f>
        <v>42369</v>
      </c>
    </row>
    <row r="51" spans="2:6" ht="12.75">
      <c r="B51" s="709" t="s">
        <v>423</v>
      </c>
      <c r="C51" s="723"/>
      <c r="D51" s="710"/>
      <c r="E51" s="450">
        <f>SUM(E52:E53)</f>
        <v>2703</v>
      </c>
      <c r="F51" s="450">
        <f>SUM(F52:F53)</f>
        <v>2525</v>
      </c>
    </row>
    <row r="52" spans="2:6" ht="12.75">
      <c r="B52" s="712" t="s">
        <v>402</v>
      </c>
      <c r="C52" s="724"/>
      <c r="D52" s="713"/>
      <c r="E52" s="449">
        <v>2053</v>
      </c>
      <c r="F52" s="449">
        <v>1987</v>
      </c>
    </row>
    <row r="53" spans="2:6" ht="12.75">
      <c r="B53" s="712" t="s">
        <v>403</v>
      </c>
      <c r="C53" s="724"/>
      <c r="D53" s="713"/>
      <c r="E53" s="449">
        <v>650</v>
      </c>
      <c r="F53" s="449">
        <v>538</v>
      </c>
    </row>
    <row r="54" spans="2:12" ht="12.75">
      <c r="B54" s="709" t="s">
        <v>424</v>
      </c>
      <c r="C54" s="723"/>
      <c r="D54" s="710"/>
      <c r="E54" s="450">
        <f>SUM(E55:E56)</f>
        <v>468</v>
      </c>
      <c r="F54" s="450">
        <f>SUM(F55:F56)</f>
        <v>444</v>
      </c>
      <c r="H54" s="582">
        <f>IF(AND(K55="",K57=""),"","Разлика между ОПР и ПРИЛОЖЕНИЕТО!")</f>
      </c>
      <c r="I54" s="582"/>
      <c r="J54" s="582"/>
      <c r="K54" s="582"/>
      <c r="L54" s="582"/>
    </row>
    <row r="55" spans="2:12" ht="12.75">
      <c r="B55" s="712" t="s">
        <v>402</v>
      </c>
      <c r="C55" s="724"/>
      <c r="D55" s="713"/>
      <c r="E55" s="449">
        <v>402</v>
      </c>
      <c r="F55" s="449">
        <v>385</v>
      </c>
      <c r="H55" s="583">
        <f>IF(K55="","","Разлика текущ период:")</f>
      </c>
      <c r="I55" s="583"/>
      <c r="J55" s="583"/>
      <c r="K55" s="427">
        <f>IF(E58=ABS(ОПР!E22),"",E58-ABS(ОПР!E22))</f>
      </c>
      <c r="L55" s="426"/>
    </row>
    <row r="56" spans="2:12" ht="12.75">
      <c r="B56" s="712" t="s">
        <v>403</v>
      </c>
      <c r="C56" s="724"/>
      <c r="D56" s="713"/>
      <c r="E56" s="449">
        <v>66</v>
      </c>
      <c r="F56" s="449">
        <v>59</v>
      </c>
      <c r="H56" s="584">
        <f>IF(K55="","","Заплати и осигуровки по ОПР:")</f>
      </c>
      <c r="I56" s="584"/>
      <c r="J56" s="584"/>
      <c r="K56" s="428">
        <f>IF(K55="","",ABS(ОПР!E22))</f>
      </c>
      <c r="L56" s="426"/>
    </row>
    <row r="57" spans="2:12" ht="12.75">
      <c r="B57" s="709" t="s">
        <v>404</v>
      </c>
      <c r="C57" s="723"/>
      <c r="D57" s="710"/>
      <c r="E57" s="450"/>
      <c r="F57" s="450"/>
      <c r="H57" s="583">
        <f>IF(K57="","","Разлика предходен период:")</f>
      </c>
      <c r="I57" s="583"/>
      <c r="J57" s="583"/>
      <c r="K57" s="427">
        <f>IF(F58=ABS(ОПР!G22),"",F58-ABS(ОПР!G22))</f>
      </c>
      <c r="L57" s="426"/>
    </row>
    <row r="58" spans="2:12" ht="12.75">
      <c r="B58" s="594" t="s">
        <v>85</v>
      </c>
      <c r="C58" s="595"/>
      <c r="D58" s="596"/>
      <c r="E58" s="342">
        <f>E51+E54</f>
        <v>3171</v>
      </c>
      <c r="F58" s="342">
        <f>F51+F54</f>
        <v>2969</v>
      </c>
      <c r="H58" s="584">
        <f>IF(K57="","","Заплати и осигуровки по ОПР:")</f>
      </c>
      <c r="I58" s="584"/>
      <c r="J58" s="584"/>
      <c r="K58" s="428">
        <f>IF(K57="","",ABS(ОПР!G22))</f>
      </c>
      <c r="L58" s="426"/>
    </row>
    <row r="59" spans="2:6" ht="15">
      <c r="B59" s="616" t="s">
        <v>53</v>
      </c>
      <c r="C59" s="616"/>
      <c r="D59" s="616"/>
      <c r="E59" s="616"/>
      <c r="F59" s="616"/>
    </row>
    <row r="60" spans="2:6" ht="12.75">
      <c r="B60" s="725" t="s">
        <v>115</v>
      </c>
      <c r="C60" s="726"/>
      <c r="D60" s="727"/>
      <c r="E60" s="459">
        <f>E$2</f>
        <v>42735</v>
      </c>
      <c r="F60" s="459">
        <f>F$2</f>
        <v>42369</v>
      </c>
    </row>
    <row r="61" spans="2:6" ht="12.75">
      <c r="B61" s="712" t="s">
        <v>425</v>
      </c>
      <c r="C61" s="724"/>
      <c r="D61" s="713"/>
      <c r="E61" s="449"/>
      <c r="F61" s="449"/>
    </row>
    <row r="62" spans="2:12" ht="12.75">
      <c r="B62" s="712" t="s">
        <v>426</v>
      </c>
      <c r="C62" s="724"/>
      <c r="D62" s="713"/>
      <c r="E62" s="449"/>
      <c r="F62" s="449"/>
      <c r="H62" s="582">
        <f>IF(AND(K63="",K65=""),"","Разлика между ОПР и ПРИЛОЖЕНИЕТО!")</f>
      </c>
      <c r="I62" s="582"/>
      <c r="J62" s="582"/>
      <c r="K62" s="582"/>
      <c r="L62" s="582"/>
    </row>
    <row r="63" spans="2:12" ht="12.75">
      <c r="B63" s="712" t="s">
        <v>427</v>
      </c>
      <c r="C63" s="724"/>
      <c r="D63" s="713"/>
      <c r="E63" s="449"/>
      <c r="F63" s="449"/>
      <c r="H63" s="583">
        <f>IF(K63="","","Разлика текущ период:")</f>
      </c>
      <c r="I63" s="583"/>
      <c r="J63" s="583"/>
      <c r="K63" s="427">
        <f>IF(E66=ABS(ОПР!E23),"",E66-ABS(ОПР!E23))</f>
      </c>
      <c r="L63" s="426"/>
    </row>
    <row r="64" spans="2:12" ht="12.75">
      <c r="B64" s="712" t="s">
        <v>428</v>
      </c>
      <c r="C64" s="724"/>
      <c r="D64" s="713"/>
      <c r="E64" s="193"/>
      <c r="F64" s="193"/>
      <c r="H64" s="584">
        <f>IF(K63="","","Разходи за обезценки по ОПР:")</f>
      </c>
      <c r="I64" s="584"/>
      <c r="J64" s="584"/>
      <c r="K64" s="428">
        <f>IF(K63="","",ABS(ОПР!E23))</f>
      </c>
      <c r="L64" s="426"/>
    </row>
    <row r="65" spans="2:12" ht="12.75">
      <c r="B65" s="712" t="s">
        <v>429</v>
      </c>
      <c r="C65" s="724"/>
      <c r="D65" s="713"/>
      <c r="E65" s="449"/>
      <c r="F65" s="449"/>
      <c r="H65" s="583">
        <f>IF(K65="","","Разлика предходен период:")</f>
      </c>
      <c r="I65" s="583"/>
      <c r="J65" s="583"/>
      <c r="K65" s="427">
        <f>IF(F66=ABS(ОПР!G23),"",F66-ABS(ОПР!G23))</f>
      </c>
      <c r="L65" s="426"/>
    </row>
    <row r="66" spans="2:12" ht="12.75">
      <c r="B66" s="594" t="s">
        <v>85</v>
      </c>
      <c r="C66" s="595"/>
      <c r="D66" s="596"/>
      <c r="E66" s="342">
        <f>SUM(E61:E65)</f>
        <v>0</v>
      </c>
      <c r="F66" s="342">
        <f>SUM(F61:F65)</f>
        <v>0</v>
      </c>
      <c r="H66" s="584">
        <f>IF(K65="","","Разходи за обезценки по ОПР:")</f>
      </c>
      <c r="I66" s="584"/>
      <c r="J66" s="584"/>
      <c r="K66" s="428">
        <f>IF(K65="","",ABS(ОПР!G23))</f>
      </c>
      <c r="L66" s="426"/>
    </row>
    <row r="67" spans="2:6" ht="15">
      <c r="B67" s="616" t="s">
        <v>3</v>
      </c>
      <c r="C67" s="616"/>
      <c r="D67" s="616"/>
      <c r="E67" s="616"/>
      <c r="F67" s="616"/>
    </row>
    <row r="68" spans="2:6" ht="12.75">
      <c r="B68" s="725" t="s">
        <v>115</v>
      </c>
      <c r="C68" s="726"/>
      <c r="D68" s="727"/>
      <c r="E68" s="459">
        <f>E$2</f>
        <v>42735</v>
      </c>
      <c r="F68" s="459">
        <f>F$2</f>
        <v>42369</v>
      </c>
    </row>
    <row r="69" spans="2:6" ht="12.75">
      <c r="B69" s="675" t="s">
        <v>121</v>
      </c>
      <c r="C69" s="675"/>
      <c r="D69" s="675"/>
      <c r="E69" s="449">
        <v>2</v>
      </c>
      <c r="F69" s="449">
        <v>2</v>
      </c>
    </row>
    <row r="70" spans="2:6" ht="12.75">
      <c r="B70" s="675" t="s">
        <v>122</v>
      </c>
      <c r="C70" s="675"/>
      <c r="D70" s="675"/>
      <c r="E70" s="449">
        <v>12</v>
      </c>
      <c r="F70" s="449">
        <v>11</v>
      </c>
    </row>
    <row r="71" spans="2:6" ht="12.75">
      <c r="B71" s="675" t="s">
        <v>123</v>
      </c>
      <c r="C71" s="675"/>
      <c r="D71" s="675"/>
      <c r="E71" s="449">
        <v>1</v>
      </c>
      <c r="F71" s="449">
        <v>2</v>
      </c>
    </row>
    <row r="72" spans="2:6" ht="12.75">
      <c r="B72" s="675" t="s">
        <v>430</v>
      </c>
      <c r="C72" s="675"/>
      <c r="D72" s="675"/>
      <c r="E72" s="449">
        <v>167</v>
      </c>
      <c r="F72" s="449">
        <v>155</v>
      </c>
    </row>
    <row r="73" spans="2:6" ht="12.75">
      <c r="B73" s="675" t="s">
        <v>431</v>
      </c>
      <c r="C73" s="675"/>
      <c r="D73" s="675"/>
      <c r="E73" s="449"/>
      <c r="F73" s="449"/>
    </row>
    <row r="74" spans="2:6" ht="12.75">
      <c r="B74" s="675" t="s">
        <v>432</v>
      </c>
      <c r="C74" s="675"/>
      <c r="D74" s="675"/>
      <c r="E74" s="449">
        <v>27</v>
      </c>
      <c r="F74" s="449">
        <v>3</v>
      </c>
    </row>
    <row r="75" spans="2:6" ht="12.75">
      <c r="B75" s="675" t="s">
        <v>433</v>
      </c>
      <c r="C75" s="675"/>
      <c r="D75" s="675"/>
      <c r="E75" s="449">
        <v>2549</v>
      </c>
      <c r="F75" s="449">
        <v>4280</v>
      </c>
    </row>
    <row r="76" spans="2:9" ht="12.75">
      <c r="B76" s="675" t="s">
        <v>434</v>
      </c>
      <c r="C76" s="675"/>
      <c r="D76" s="675"/>
      <c r="E76" s="449">
        <v>10</v>
      </c>
      <c r="F76" s="449">
        <v>2</v>
      </c>
      <c r="I76" s="387"/>
    </row>
    <row r="77" spans="2:9" ht="12.75">
      <c r="B77" s="675" t="s">
        <v>118</v>
      </c>
      <c r="C77" s="675"/>
      <c r="D77" s="675"/>
      <c r="E77" s="449"/>
      <c r="F77" s="449">
        <v>4</v>
      </c>
      <c r="I77" s="387"/>
    </row>
    <row r="78" spans="2:9" ht="12.75">
      <c r="B78" s="675" t="s">
        <v>120</v>
      </c>
      <c r="C78" s="675"/>
      <c r="D78" s="675"/>
      <c r="E78" s="449">
        <v>11</v>
      </c>
      <c r="F78" s="449"/>
      <c r="I78" s="387"/>
    </row>
    <row r="79" spans="2:9" ht="12.75">
      <c r="B79" s="675" t="s">
        <v>3</v>
      </c>
      <c r="C79" s="675"/>
      <c r="D79" s="675"/>
      <c r="E79" s="462">
        <v>18</v>
      </c>
      <c r="F79" s="449">
        <v>39</v>
      </c>
      <c r="I79" s="387"/>
    </row>
    <row r="80" spans="2:9" ht="12.75">
      <c r="B80" s="712" t="s">
        <v>626</v>
      </c>
      <c r="C80" s="724"/>
      <c r="D80" s="713"/>
      <c r="E80" s="449">
        <v>74</v>
      </c>
      <c r="F80" s="449"/>
      <c r="I80" s="387"/>
    </row>
    <row r="81" spans="2:12" ht="12.75">
      <c r="B81" s="712" t="s">
        <v>627</v>
      </c>
      <c r="C81" s="724"/>
      <c r="D81" s="713"/>
      <c r="E81" s="449">
        <v>73</v>
      </c>
      <c r="F81" s="449">
        <v>67</v>
      </c>
      <c r="H81" s="582">
        <f>IF(AND(K82="",K84=""),"","Разлика между ОПР и ПРИЛОЖЕНИЕТО!")</f>
      </c>
      <c r="I81" s="582"/>
      <c r="J81" s="582"/>
      <c r="K81" s="582"/>
      <c r="L81" s="582"/>
    </row>
    <row r="82" spans="2:12" ht="12.75">
      <c r="B82" s="712" t="s">
        <v>659</v>
      </c>
      <c r="C82" s="724"/>
      <c r="D82" s="713"/>
      <c r="E82" s="449">
        <v>31</v>
      </c>
      <c r="F82" s="449">
        <v>28</v>
      </c>
      <c r="H82" s="583">
        <f>IF(K82="","","Разлика текущ период:")</f>
      </c>
      <c r="I82" s="583"/>
      <c r="J82" s="583"/>
      <c r="K82" s="427">
        <f>IF(E85=ABS(ОПР!E24),"",E85-ABS(ОПР!E24))</f>
      </c>
      <c r="L82" s="426"/>
    </row>
    <row r="83" spans="2:12" ht="12.75">
      <c r="B83" s="712" t="s">
        <v>691</v>
      </c>
      <c r="C83" s="724"/>
      <c r="D83" s="713"/>
      <c r="E83" s="449">
        <v>1444</v>
      </c>
      <c r="F83" s="449">
        <v>945</v>
      </c>
      <c r="H83" s="584">
        <f>IF(K82="","","Други разходи по ОПР:")</f>
      </c>
      <c r="I83" s="584"/>
      <c r="J83" s="584"/>
      <c r="K83" s="428">
        <f>IF(K82="","",ABS(ОПР!E24))</f>
      </c>
      <c r="L83" s="426"/>
    </row>
    <row r="84" spans="2:12" ht="12.75">
      <c r="B84" s="712" t="s">
        <v>693</v>
      </c>
      <c r="C84" s="724"/>
      <c r="D84" s="713"/>
      <c r="E84" s="449">
        <v>10</v>
      </c>
      <c r="F84" s="449">
        <v>3</v>
      </c>
      <c r="H84" s="583"/>
      <c r="I84" s="583"/>
      <c r="J84" s="583"/>
      <c r="K84" s="427">
        <f>IF(F85=ABS(ОПР!G24),"",F85-ABS(ОПР!G24))</f>
      </c>
      <c r="L84" s="426"/>
    </row>
    <row r="85" spans="2:12" ht="12.75">
      <c r="B85" s="594" t="s">
        <v>85</v>
      </c>
      <c r="C85" s="595"/>
      <c r="D85" s="596"/>
      <c r="E85" s="342">
        <f>SUM(E69:E84)</f>
        <v>4429</v>
      </c>
      <c r="F85" s="342">
        <f>SUM(F69:F84)</f>
        <v>5541</v>
      </c>
      <c r="H85" s="584">
        <f>IF(K84="","","Други разходи по ОПР:")</f>
      </c>
      <c r="I85" s="584"/>
      <c r="J85" s="584"/>
      <c r="K85" s="428">
        <f>IF(K84="","",ABS(ОПР!G24))</f>
      </c>
      <c r="L85" s="426"/>
    </row>
    <row r="86" spans="2:9" ht="15">
      <c r="B86" s="616" t="s">
        <v>608</v>
      </c>
      <c r="C86" s="616"/>
      <c r="D86" s="616"/>
      <c r="E86" s="616"/>
      <c r="F86" s="616"/>
      <c r="I86" s="387"/>
    </row>
    <row r="87" spans="2:9" ht="12.75">
      <c r="B87" s="725" t="s">
        <v>115</v>
      </c>
      <c r="C87" s="726"/>
      <c r="D87" s="727"/>
      <c r="E87" s="459">
        <f>E$2</f>
        <v>42735</v>
      </c>
      <c r="F87" s="459">
        <f>F$2</f>
        <v>42369</v>
      </c>
      <c r="I87" s="387"/>
    </row>
    <row r="88" spans="2:9" ht="12.75">
      <c r="B88" s="709" t="s">
        <v>439</v>
      </c>
      <c r="C88" s="723"/>
      <c r="D88" s="710"/>
      <c r="E88" s="450">
        <f>SUM(E89:E90)</f>
        <v>14</v>
      </c>
      <c r="F88" s="450">
        <f>SUM(F89:F90)</f>
        <v>12</v>
      </c>
      <c r="I88" s="387"/>
    </row>
    <row r="89" spans="2:9" ht="12.75">
      <c r="B89" s="675" t="s">
        <v>405</v>
      </c>
      <c r="C89" s="675"/>
      <c r="D89" s="675"/>
      <c r="E89" s="449">
        <v>14</v>
      </c>
      <c r="F89" s="449">
        <v>12</v>
      </c>
      <c r="H89" s="197" t="s">
        <v>406</v>
      </c>
      <c r="I89" s="387"/>
    </row>
    <row r="90" spans="2:9" ht="12.75">
      <c r="B90" s="679" t="s">
        <v>438</v>
      </c>
      <c r="C90" s="706"/>
      <c r="D90" s="680"/>
      <c r="E90" s="449"/>
      <c r="F90" s="449"/>
      <c r="I90" s="387"/>
    </row>
    <row r="91" spans="2:9" ht="12.75">
      <c r="B91" s="676" t="s">
        <v>440</v>
      </c>
      <c r="C91" s="676"/>
      <c r="D91" s="676"/>
      <c r="E91" s="449"/>
      <c r="F91" s="449"/>
      <c r="I91" s="387"/>
    </row>
    <row r="92" spans="2:12" ht="12.75">
      <c r="B92" s="675" t="s">
        <v>407</v>
      </c>
      <c r="C92" s="675"/>
      <c r="D92" s="675"/>
      <c r="E92" s="449"/>
      <c r="F92" s="449"/>
      <c r="H92" s="582">
        <f>IF(AND(K93="",K95=""),"","Разлика между ОПР и ПРИЛОЖЕНИЕТО!")</f>
      </c>
      <c r="I92" s="582"/>
      <c r="J92" s="582"/>
      <c r="K92" s="582"/>
      <c r="L92" s="582"/>
    </row>
    <row r="93" spans="2:12" ht="12.75">
      <c r="B93" s="679" t="s">
        <v>437</v>
      </c>
      <c r="C93" s="706"/>
      <c r="D93" s="680"/>
      <c r="E93" s="449"/>
      <c r="F93" s="449"/>
      <c r="H93" s="583">
        <f>IF(K93="","","Разлика текущ период:")</f>
      </c>
      <c r="I93" s="583"/>
      <c r="J93" s="583"/>
      <c r="K93" s="427"/>
      <c r="L93" s="426"/>
    </row>
    <row r="94" spans="2:12" ht="12.75">
      <c r="B94" s="676" t="s">
        <v>408</v>
      </c>
      <c r="C94" s="676"/>
      <c r="D94" s="676"/>
      <c r="E94" s="449">
        <v>-489</v>
      </c>
      <c r="F94" s="449">
        <v>-68</v>
      </c>
      <c r="H94" s="584">
        <f>IF(K93="","","Корективни суми по ОПР:")</f>
      </c>
      <c r="I94" s="584"/>
      <c r="J94" s="584"/>
      <c r="K94" s="428"/>
      <c r="L94" s="426"/>
    </row>
    <row r="95" spans="2:12" ht="12.75">
      <c r="B95" s="677" t="s">
        <v>409</v>
      </c>
      <c r="C95" s="708"/>
      <c r="D95" s="678"/>
      <c r="E95" s="196"/>
      <c r="F95" s="193"/>
      <c r="H95" s="583"/>
      <c r="I95" s="583"/>
      <c r="J95" s="583"/>
      <c r="K95" s="427"/>
      <c r="L95" s="426"/>
    </row>
    <row r="96" spans="2:12" ht="12.75">
      <c r="B96" s="594" t="s">
        <v>85</v>
      </c>
      <c r="C96" s="595"/>
      <c r="D96" s="596"/>
      <c r="E96" s="342">
        <f>E88+E91+E94+E95</f>
        <v>-475</v>
      </c>
      <c r="F96" s="342">
        <f>F88+F91+F94+F95</f>
        <v>-56</v>
      </c>
      <c r="H96" s="584">
        <f>IF(K95="","","Корективни суми по ОПР:")</f>
      </c>
      <c r="I96" s="584"/>
      <c r="J96" s="584"/>
      <c r="K96" s="428"/>
      <c r="L96" s="426"/>
    </row>
    <row r="97" spans="2:6" ht="15">
      <c r="B97" s="616" t="s">
        <v>410</v>
      </c>
      <c r="C97" s="616"/>
      <c r="D97" s="616"/>
      <c r="E97" s="616"/>
      <c r="F97" s="616"/>
    </row>
    <row r="98" spans="2:14" ht="12.75">
      <c r="B98" s="725" t="s">
        <v>115</v>
      </c>
      <c r="C98" s="726"/>
      <c r="D98" s="727"/>
      <c r="E98" s="459">
        <f>E$2</f>
        <v>42735</v>
      </c>
      <c r="F98" s="459">
        <f>F$2</f>
        <v>42369</v>
      </c>
      <c r="H98" s="197" t="s">
        <v>412</v>
      </c>
      <c r="N98" s="197" t="s">
        <v>415</v>
      </c>
    </row>
    <row r="99" spans="2:12" ht="12.75">
      <c r="B99" s="676" t="s">
        <v>405</v>
      </c>
      <c r="C99" s="676"/>
      <c r="D99" s="676"/>
      <c r="E99" s="450">
        <f>SUM(E100:E101)</f>
        <v>0</v>
      </c>
      <c r="F99" s="450">
        <f>SUM(F100:F101)</f>
        <v>0</v>
      </c>
      <c r="H99" s="582" t="e">
        <f>IF(AND(K100="",K102=""),"","Разлика между ОПР и ПРИЛОЖЕНИЕТО!")</f>
        <v>#REF!</v>
      </c>
      <c r="I99" s="582"/>
      <c r="J99" s="582"/>
      <c r="K99" s="582"/>
      <c r="L99" s="582"/>
    </row>
    <row r="100" spans="2:12" ht="12.75">
      <c r="B100" s="675" t="s">
        <v>411</v>
      </c>
      <c r="C100" s="675"/>
      <c r="D100" s="675"/>
      <c r="E100" s="449">
        <v>0</v>
      </c>
      <c r="F100" s="449"/>
      <c r="H100" s="583" t="e">
        <f>IF(K100="","","Разлика текущ период:")</f>
        <v>#REF!</v>
      </c>
      <c r="I100" s="583"/>
      <c r="J100" s="583"/>
      <c r="K100" s="427" t="e">
        <f>IF(E103=(ОПР!#REF!),"",E103-(ОПР!#REF!))</f>
        <v>#REF!</v>
      </c>
      <c r="L100" s="426"/>
    </row>
    <row r="101" spans="2:12" ht="12.75">
      <c r="B101" s="675" t="s">
        <v>413</v>
      </c>
      <c r="C101" s="675"/>
      <c r="D101" s="675"/>
      <c r="E101" s="449"/>
      <c r="F101" s="449"/>
      <c r="H101" s="584" t="e">
        <f>IF(K100="","","Резултат от ДА по ОПР:")</f>
        <v>#REF!</v>
      </c>
      <c r="I101" s="584"/>
      <c r="J101" s="584"/>
      <c r="K101" s="428" t="e">
        <f>IF(K100="","",(ОПР!#REF!))</f>
        <v>#REF!</v>
      </c>
      <c r="L101" s="426"/>
    </row>
    <row r="102" spans="2:12" ht="12.75">
      <c r="B102" s="676" t="s">
        <v>414</v>
      </c>
      <c r="C102" s="676"/>
      <c r="D102" s="676"/>
      <c r="E102" s="449"/>
      <c r="F102" s="449"/>
      <c r="H102" s="583"/>
      <c r="I102" s="583"/>
      <c r="J102" s="583"/>
      <c r="K102" s="427" t="e">
        <f>IF(F103=(ОПР!#REF!),"",F103-(ОПР!#REF!))</f>
        <v>#REF!</v>
      </c>
      <c r="L102" s="426"/>
    </row>
    <row r="103" spans="2:12" ht="12.75">
      <c r="B103" s="594" t="s">
        <v>85</v>
      </c>
      <c r="C103" s="595"/>
      <c r="D103" s="596"/>
      <c r="E103" s="342">
        <f>E102-E99</f>
        <v>0</v>
      </c>
      <c r="F103" s="342">
        <f>F102-F99</f>
        <v>0</v>
      </c>
      <c r="H103" s="584" t="e">
        <f>IF(K102="","","Резултат от ДА по ОПР:")</f>
        <v>#REF!</v>
      </c>
      <c r="I103" s="584"/>
      <c r="J103" s="584"/>
      <c r="K103" s="428" t="e">
        <f>IF(K102="","",(ОПР!#REF!))</f>
        <v>#REF!</v>
      </c>
      <c r="L103" s="426"/>
    </row>
    <row r="104" spans="2:6" ht="15">
      <c r="B104" s="616" t="s">
        <v>416</v>
      </c>
      <c r="C104" s="616"/>
      <c r="D104" s="616"/>
      <c r="E104" s="616"/>
      <c r="F104" s="616"/>
    </row>
    <row r="105" spans="2:6" ht="12.75">
      <c r="B105" s="725" t="s">
        <v>115</v>
      </c>
      <c r="C105" s="726"/>
      <c r="D105" s="727"/>
      <c r="E105" s="459">
        <f>E$2</f>
        <v>42735</v>
      </c>
      <c r="F105" s="459">
        <f>F$2</f>
        <v>42369</v>
      </c>
    </row>
    <row r="106" spans="2:6" ht="12.75">
      <c r="B106" s="677" t="s">
        <v>435</v>
      </c>
      <c r="C106" s="708"/>
      <c r="D106" s="678"/>
      <c r="E106" s="450"/>
      <c r="F106" s="450"/>
    </row>
    <row r="107" spans="2:6" ht="12.75">
      <c r="B107" s="679" t="s">
        <v>372</v>
      </c>
      <c r="C107" s="706"/>
      <c r="D107" s="680"/>
      <c r="E107" s="449">
        <v>665</v>
      </c>
      <c r="F107" s="449">
        <v>805</v>
      </c>
    </row>
    <row r="108" spans="2:6" ht="12.75">
      <c r="B108" s="679" t="s">
        <v>373</v>
      </c>
      <c r="C108" s="706"/>
      <c r="D108" s="680"/>
      <c r="E108" s="449"/>
      <c r="F108" s="449"/>
    </row>
    <row r="109" spans="2:6" ht="12.75">
      <c r="B109" s="679" t="s">
        <v>375</v>
      </c>
      <c r="C109" s="706"/>
      <c r="D109" s="680"/>
      <c r="E109" s="449"/>
      <c r="F109" s="449"/>
    </row>
    <row r="110" spans="2:6" ht="12.75">
      <c r="B110" s="679" t="s">
        <v>376</v>
      </c>
      <c r="C110" s="706"/>
      <c r="D110" s="680"/>
      <c r="E110" s="449">
        <v>484</v>
      </c>
      <c r="F110" s="449">
        <v>2101</v>
      </c>
    </row>
    <row r="111" spans="2:12" ht="12.75">
      <c r="B111" s="679" t="s">
        <v>374</v>
      </c>
      <c r="C111" s="706"/>
      <c r="D111" s="680"/>
      <c r="E111" s="449"/>
      <c r="F111" s="449"/>
      <c r="H111" s="582">
        <f>IF(AND(K112="",K114=""),"","Разлика между ОПР и ПРИЛОЖЕНИЕТО!")</f>
      </c>
      <c r="I111" s="582"/>
      <c r="J111" s="582"/>
      <c r="K111" s="582"/>
      <c r="L111" s="582"/>
    </row>
    <row r="112" spans="2:12" ht="12.75">
      <c r="B112" s="677" t="s">
        <v>360</v>
      </c>
      <c r="C112" s="708"/>
      <c r="D112" s="678"/>
      <c r="E112" s="345"/>
      <c r="F112" s="450"/>
      <c r="H112" s="583">
        <f>IF(K112="","","Разлика текущ период:")</f>
      </c>
      <c r="I112" s="583"/>
      <c r="J112" s="583"/>
      <c r="K112" s="427">
        <f>IF(E115=ABS(ОПР!E29),"",E115-ABS(ОПР!E29))</f>
      </c>
      <c r="L112" s="426"/>
    </row>
    <row r="113" spans="2:12" ht="12.75">
      <c r="B113" s="677" t="s">
        <v>417</v>
      </c>
      <c r="C113" s="708"/>
      <c r="D113" s="678"/>
      <c r="E113" s="345">
        <v>271</v>
      </c>
      <c r="F113" s="345">
        <v>1056</v>
      </c>
      <c r="H113" s="584">
        <f>IF(K112="","","Финасови разходи по ОПР:")</f>
      </c>
      <c r="I113" s="584"/>
      <c r="J113" s="584"/>
      <c r="K113" s="428">
        <f>IF(K112="","",ABS(ОПР!E29))</f>
      </c>
      <c r="L113" s="426"/>
    </row>
    <row r="114" spans="2:12" ht="12.75">
      <c r="B114" s="677" t="s">
        <v>117</v>
      </c>
      <c r="C114" s="708"/>
      <c r="D114" s="678"/>
      <c r="E114" s="345">
        <v>218</v>
      </c>
      <c r="F114" s="345">
        <v>64</v>
      </c>
      <c r="H114" s="583"/>
      <c r="I114" s="583"/>
      <c r="J114" s="583"/>
      <c r="K114" s="427">
        <f>IF(F115=ABS(ОПР!G29),"",F115-ABS(ОПР!G29))</f>
      </c>
      <c r="L114" s="426"/>
    </row>
    <row r="115" spans="2:12" ht="12.75">
      <c r="B115" s="594" t="s">
        <v>85</v>
      </c>
      <c r="C115" s="595"/>
      <c r="D115" s="596"/>
      <c r="E115" s="342">
        <f>SUM(E106:E114)</f>
        <v>1638</v>
      </c>
      <c r="F115" s="342">
        <f>SUM(F106:F114)</f>
        <v>4026</v>
      </c>
      <c r="H115" s="584">
        <f>IF(K114="","","Финасови разходи по ОПР:")</f>
      </c>
      <c r="I115" s="584"/>
      <c r="J115" s="584"/>
      <c r="K115" s="428">
        <f>IF(K114="","",ABS(ОПР!G29))</f>
      </c>
      <c r="L115" s="426"/>
    </row>
    <row r="116" spans="2:6" ht="15">
      <c r="B116" s="616" t="s">
        <v>418</v>
      </c>
      <c r="C116" s="616"/>
      <c r="D116" s="616"/>
      <c r="E116" s="616"/>
      <c r="F116" s="616"/>
    </row>
    <row r="117" spans="2:6" ht="12.75">
      <c r="B117" s="725" t="s">
        <v>115</v>
      </c>
      <c r="C117" s="726"/>
      <c r="D117" s="727"/>
      <c r="E117" s="459">
        <f>E$2</f>
        <v>42735</v>
      </c>
      <c r="F117" s="459">
        <f>F$2</f>
        <v>42369</v>
      </c>
    </row>
    <row r="118" spans="2:6" ht="12.75">
      <c r="B118" s="679" t="s">
        <v>419</v>
      </c>
      <c r="C118" s="706"/>
      <c r="D118" s="680"/>
      <c r="E118" s="460"/>
      <c r="F118" s="460"/>
    </row>
    <row r="119" spans="2:6" ht="12.75">
      <c r="B119" s="679" t="s">
        <v>37</v>
      </c>
      <c r="C119" s="706"/>
      <c r="D119" s="680"/>
      <c r="E119" s="460"/>
      <c r="F119" s="460">
        <v>-870</v>
      </c>
    </row>
    <row r="120" spans="2:6" ht="12.75">
      <c r="B120" s="594" t="s">
        <v>85</v>
      </c>
      <c r="C120" s="595"/>
      <c r="D120" s="596"/>
      <c r="E120" s="342">
        <f>SUM(E118:E119)</f>
        <v>0</v>
      </c>
      <c r="F120" s="342">
        <f>SUM(F118:F119)</f>
        <v>-870</v>
      </c>
    </row>
  </sheetData>
  <sheetProtection/>
  <mergeCells count="165">
    <mergeCell ref="B7:D7"/>
    <mergeCell ref="B8:D8"/>
    <mergeCell ref="B1:F1"/>
    <mergeCell ref="B2:D2"/>
    <mergeCell ref="B3:D3"/>
    <mergeCell ref="B4:D4"/>
    <mergeCell ref="B5:D5"/>
    <mergeCell ref="B6:D6"/>
    <mergeCell ref="B33:D33"/>
    <mergeCell ref="B9:D9"/>
    <mergeCell ref="B10:D10"/>
    <mergeCell ref="B11:D11"/>
    <mergeCell ref="B12:D12"/>
    <mergeCell ref="B29:D29"/>
    <mergeCell ref="B26:D26"/>
    <mergeCell ref="B13:D13"/>
    <mergeCell ref="B30:D30"/>
    <mergeCell ref="B19:D19"/>
    <mergeCell ref="B20:F20"/>
    <mergeCell ref="B21:D21"/>
    <mergeCell ref="B27:D27"/>
    <mergeCell ref="B28:D28"/>
    <mergeCell ref="B22:D22"/>
    <mergeCell ref="B23:D23"/>
    <mergeCell ref="B24:D24"/>
    <mergeCell ref="B25:D25"/>
    <mergeCell ref="B31:D31"/>
    <mergeCell ref="B32:D32"/>
    <mergeCell ref="B52:D52"/>
    <mergeCell ref="B53:D53"/>
    <mergeCell ref="B42:D42"/>
    <mergeCell ref="B43:D43"/>
    <mergeCell ref="B44:D44"/>
    <mergeCell ref="B45:D45"/>
    <mergeCell ref="B50:D50"/>
    <mergeCell ref="B51:D51"/>
    <mergeCell ref="B46:D46"/>
    <mergeCell ref="B47:D47"/>
    <mergeCell ref="B39:D39"/>
    <mergeCell ref="B40:F40"/>
    <mergeCell ref="B41:D41"/>
    <mergeCell ref="B35:D35"/>
    <mergeCell ref="B36:D36"/>
    <mergeCell ref="B37:D37"/>
    <mergeCell ref="B38:D38"/>
    <mergeCell ref="B48:D48"/>
    <mergeCell ref="B49:F49"/>
    <mergeCell ref="B64:D64"/>
    <mergeCell ref="B65:D65"/>
    <mergeCell ref="B54:D54"/>
    <mergeCell ref="B55:D55"/>
    <mergeCell ref="B56:D56"/>
    <mergeCell ref="B57:D57"/>
    <mergeCell ref="B58:D58"/>
    <mergeCell ref="B59:F59"/>
    <mergeCell ref="B60:D60"/>
    <mergeCell ref="B61:D61"/>
    <mergeCell ref="B62:D62"/>
    <mergeCell ref="B63:D63"/>
    <mergeCell ref="B66:D66"/>
    <mergeCell ref="B67:F67"/>
    <mergeCell ref="B68:D68"/>
    <mergeCell ref="B69:D69"/>
    <mergeCell ref="B70:D70"/>
    <mergeCell ref="B71:D71"/>
    <mergeCell ref="B74:D74"/>
    <mergeCell ref="B75:D75"/>
    <mergeCell ref="B72:D72"/>
    <mergeCell ref="B73:D73"/>
    <mergeCell ref="B77:D77"/>
    <mergeCell ref="B103:D103"/>
    <mergeCell ref="B108:D108"/>
    <mergeCell ref="B94:D94"/>
    <mergeCell ref="B95:D95"/>
    <mergeCell ref="B96:D96"/>
    <mergeCell ref="B97:F97"/>
    <mergeCell ref="B98:D98"/>
    <mergeCell ref="B99:D99"/>
    <mergeCell ref="B87:D87"/>
    <mergeCell ref="B119:D119"/>
    <mergeCell ref="B120:D120"/>
    <mergeCell ref="B112:D112"/>
    <mergeCell ref="B113:D113"/>
    <mergeCell ref="B114:D114"/>
    <mergeCell ref="B115:D115"/>
    <mergeCell ref="B116:F116"/>
    <mergeCell ref="B117:D117"/>
    <mergeCell ref="B118:D118"/>
    <mergeCell ref="B111:D111"/>
    <mergeCell ref="B14:D14"/>
    <mergeCell ref="B15:D15"/>
    <mergeCell ref="B16:D16"/>
    <mergeCell ref="B17:D17"/>
    <mergeCell ref="B18:D18"/>
    <mergeCell ref="B34:D34"/>
    <mergeCell ref="B92:D92"/>
    <mergeCell ref="B101:D101"/>
    <mergeCell ref="B76:D76"/>
    <mergeCell ref="B109:D109"/>
    <mergeCell ref="B102:D102"/>
    <mergeCell ref="B100:D100"/>
    <mergeCell ref="B110:D110"/>
    <mergeCell ref="B107:D107"/>
    <mergeCell ref="B104:F104"/>
    <mergeCell ref="B105:D105"/>
    <mergeCell ref="B106:D106"/>
    <mergeCell ref="B78:D78"/>
    <mergeCell ref="B79:D79"/>
    <mergeCell ref="B85:D85"/>
    <mergeCell ref="B86:F86"/>
    <mergeCell ref="B80:D80"/>
    <mergeCell ref="B81:D81"/>
    <mergeCell ref="B82:D82"/>
    <mergeCell ref="B83:D83"/>
    <mergeCell ref="B93:D93"/>
    <mergeCell ref="B90:D90"/>
    <mergeCell ref="B88:D88"/>
    <mergeCell ref="B84:D84"/>
    <mergeCell ref="B91:D91"/>
    <mergeCell ref="B89:D89"/>
    <mergeCell ref="H38:J38"/>
    <mergeCell ref="H39:J39"/>
    <mergeCell ref="H15:L15"/>
    <mergeCell ref="H16:J16"/>
    <mergeCell ref="H17:J17"/>
    <mergeCell ref="H18:J18"/>
    <mergeCell ref="H19:J19"/>
    <mergeCell ref="H35:L35"/>
    <mergeCell ref="H36:J36"/>
    <mergeCell ref="H37:J37"/>
    <mergeCell ref="H44:L44"/>
    <mergeCell ref="H45:J45"/>
    <mergeCell ref="H46:J46"/>
    <mergeCell ref="H66:J66"/>
    <mergeCell ref="H47:J47"/>
    <mergeCell ref="H64:J64"/>
    <mergeCell ref="H65:J65"/>
    <mergeCell ref="H48:J48"/>
    <mergeCell ref="H54:L54"/>
    <mergeCell ref="H55:J55"/>
    <mergeCell ref="H56:J56"/>
    <mergeCell ref="H96:J96"/>
    <mergeCell ref="H84:J84"/>
    <mergeCell ref="H81:L81"/>
    <mergeCell ref="H82:J82"/>
    <mergeCell ref="H83:J83"/>
    <mergeCell ref="H99:L99"/>
    <mergeCell ref="H57:J57"/>
    <mergeCell ref="H58:J58"/>
    <mergeCell ref="H62:L62"/>
    <mergeCell ref="H63:J63"/>
    <mergeCell ref="H92:L92"/>
    <mergeCell ref="H85:J85"/>
    <mergeCell ref="H93:J93"/>
    <mergeCell ref="H94:J94"/>
    <mergeCell ref="H95:J95"/>
    <mergeCell ref="H115:J115"/>
    <mergeCell ref="H100:J100"/>
    <mergeCell ref="H101:J101"/>
    <mergeCell ref="H102:J102"/>
    <mergeCell ref="H103:J103"/>
    <mergeCell ref="H111:L111"/>
    <mergeCell ref="H114:J114"/>
    <mergeCell ref="H113:J113"/>
    <mergeCell ref="H112:J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197" customWidth="1"/>
    <col min="2" max="2" width="17.421875" style="197" customWidth="1"/>
    <col min="3" max="3" width="9.8515625" style="197" customWidth="1"/>
    <col min="4" max="5" width="9.140625" style="197" customWidth="1"/>
    <col min="6" max="6" width="9.8515625" style="197" customWidth="1"/>
    <col min="7" max="7" width="9.140625" style="197" customWidth="1"/>
    <col min="8" max="8" width="10.57421875" style="197" customWidth="1"/>
    <col min="9" max="16384" width="9.140625" style="197" customWidth="1"/>
  </cols>
  <sheetData>
    <row r="1" spans="2:9" ht="15">
      <c r="B1" s="624" t="s">
        <v>124</v>
      </c>
      <c r="C1" s="624"/>
      <c r="D1" s="624"/>
      <c r="E1" s="624"/>
      <c r="F1" s="624"/>
      <c r="G1" s="624"/>
      <c r="H1" s="624"/>
      <c r="I1" s="624"/>
    </row>
    <row r="2" spans="2:9" ht="89.25">
      <c r="B2" s="444" t="s">
        <v>566</v>
      </c>
      <c r="C2" s="444" t="s">
        <v>567</v>
      </c>
      <c r="D2" s="444" t="s">
        <v>568</v>
      </c>
      <c r="E2" s="444" t="s">
        <v>569</v>
      </c>
      <c r="F2" s="444" t="s">
        <v>570</v>
      </c>
      <c r="G2" s="444" t="s">
        <v>571</v>
      </c>
      <c r="H2" s="444" t="s">
        <v>572</v>
      </c>
      <c r="I2" s="444" t="s">
        <v>573</v>
      </c>
    </row>
    <row r="3" spans="2:9" ht="12.75">
      <c r="B3" s="442" t="s">
        <v>574</v>
      </c>
      <c r="C3" s="443"/>
      <c r="D3" s="443"/>
      <c r="E3" s="443"/>
      <c r="F3" s="443"/>
      <c r="G3" s="443"/>
      <c r="H3" s="443"/>
      <c r="I3" s="443"/>
    </row>
    <row r="4" spans="2:9" ht="12.75">
      <c r="B4" s="430" t="s">
        <v>575</v>
      </c>
      <c r="C4" s="232"/>
      <c r="D4" s="232"/>
      <c r="E4" s="232"/>
      <c r="F4" s="232"/>
      <c r="G4" s="232"/>
      <c r="H4" s="232"/>
      <c r="I4" s="232"/>
    </row>
    <row r="5" spans="2:9" ht="12.75">
      <c r="B5" s="431"/>
      <c r="C5" s="434"/>
      <c r="D5" s="434"/>
      <c r="E5" s="434"/>
      <c r="F5" s="434"/>
      <c r="G5" s="434"/>
      <c r="H5" s="434"/>
      <c r="I5" s="434"/>
    </row>
    <row r="6" spans="2:9" ht="12.75">
      <c r="B6" s="430"/>
      <c r="C6" s="232"/>
      <c r="D6" s="232"/>
      <c r="E6" s="232"/>
      <c r="F6" s="232"/>
      <c r="G6" s="232"/>
      <c r="H6" s="232"/>
      <c r="I6" s="232"/>
    </row>
    <row r="7" spans="2:9" ht="12.75">
      <c r="B7" s="430"/>
      <c r="C7" s="232"/>
      <c r="D7" s="232"/>
      <c r="E7" s="232"/>
      <c r="F7" s="232"/>
      <c r="G7" s="232"/>
      <c r="H7" s="232"/>
      <c r="I7" s="232"/>
    </row>
    <row r="8" spans="2:9" ht="12.75">
      <c r="B8" s="430"/>
      <c r="C8" s="232"/>
      <c r="D8" s="232"/>
      <c r="E8" s="232"/>
      <c r="F8" s="232"/>
      <c r="G8" s="232"/>
      <c r="H8" s="232"/>
      <c r="I8" s="232"/>
    </row>
    <row r="9" spans="2:9" ht="12.75">
      <c r="B9" s="430"/>
      <c r="C9" s="232"/>
      <c r="D9" s="232"/>
      <c r="E9" s="232"/>
      <c r="F9" s="232"/>
      <c r="G9" s="232"/>
      <c r="H9" s="232"/>
      <c r="I9" s="232"/>
    </row>
    <row r="10" spans="2:9" ht="15">
      <c r="B10" s="432"/>
      <c r="C10" s="435"/>
      <c r="D10" s="434"/>
      <c r="E10" s="434"/>
      <c r="F10" s="434"/>
      <c r="G10" s="434"/>
      <c r="H10" s="434"/>
      <c r="I10" s="434"/>
    </row>
    <row r="11" spans="2:9" ht="12.75">
      <c r="B11" s="431"/>
      <c r="C11" s="434"/>
      <c r="D11" s="434"/>
      <c r="E11" s="434"/>
      <c r="F11" s="434"/>
      <c r="G11" s="434"/>
      <c r="H11" s="434"/>
      <c r="I11" s="434"/>
    </row>
    <row r="12" spans="2:9" ht="12.75">
      <c r="B12" s="430"/>
      <c r="C12" s="232"/>
      <c r="D12" s="232"/>
      <c r="E12" s="232"/>
      <c r="F12" s="232"/>
      <c r="G12" s="232"/>
      <c r="H12" s="232"/>
      <c r="I12" s="232"/>
    </row>
    <row r="13" spans="2:9" ht="12.75">
      <c r="B13" s="430"/>
      <c r="C13" s="232"/>
      <c r="D13" s="232"/>
      <c r="E13" s="232"/>
      <c r="F13" s="232"/>
      <c r="G13" s="232"/>
      <c r="H13" s="232"/>
      <c r="I13" s="232"/>
    </row>
    <row r="14" spans="2:9" ht="12.75">
      <c r="B14" s="430"/>
      <c r="C14" s="232"/>
      <c r="D14" s="232"/>
      <c r="E14" s="232"/>
      <c r="F14" s="232"/>
      <c r="G14" s="232"/>
      <c r="H14" s="232"/>
      <c r="I14" s="232"/>
    </row>
    <row r="15" spans="2:9" ht="12.75">
      <c r="B15" s="430"/>
      <c r="C15" s="232"/>
      <c r="D15" s="232"/>
      <c r="E15" s="232"/>
      <c r="F15" s="232"/>
      <c r="G15" s="232"/>
      <c r="H15" s="232"/>
      <c r="I15" s="232"/>
    </row>
    <row r="16" spans="2:9" ht="12.75">
      <c r="B16" s="430"/>
      <c r="C16" s="232"/>
      <c r="D16" s="232"/>
      <c r="E16" s="232"/>
      <c r="F16" s="232"/>
      <c r="G16" s="232"/>
      <c r="H16" s="232"/>
      <c r="I16" s="232"/>
    </row>
    <row r="17" spans="2:9" ht="12.75">
      <c r="B17" s="430"/>
      <c r="C17" s="232"/>
      <c r="D17" s="232"/>
      <c r="E17" s="232"/>
      <c r="F17" s="232"/>
      <c r="G17" s="232"/>
      <c r="H17" s="232"/>
      <c r="I17" s="232"/>
    </row>
    <row r="18" spans="2:9" ht="12.75">
      <c r="B18" s="430"/>
      <c r="C18" s="232"/>
      <c r="D18" s="232"/>
      <c r="E18" s="232"/>
      <c r="F18" s="232"/>
      <c r="G18" s="232"/>
      <c r="H18" s="232"/>
      <c r="I18" s="232"/>
    </row>
    <row r="19" spans="2:9" ht="12.75">
      <c r="B19" s="430"/>
      <c r="C19" s="232"/>
      <c r="D19" s="232"/>
      <c r="E19" s="232"/>
      <c r="F19" s="232"/>
      <c r="G19" s="232"/>
      <c r="H19" s="232"/>
      <c r="I19" s="232"/>
    </row>
    <row r="20" spans="2:9" ht="40.5" customHeight="1">
      <c r="B20" s="433" t="s">
        <v>576</v>
      </c>
      <c r="C20" s="436">
        <f aca="true" t="shared" si="0" ref="C20:I20">SUM(C3:C19)</f>
        <v>0</v>
      </c>
      <c r="D20" s="436">
        <f t="shared" si="0"/>
        <v>0</v>
      </c>
      <c r="E20" s="436">
        <f t="shared" si="0"/>
        <v>0</v>
      </c>
      <c r="F20" s="436">
        <f t="shared" si="0"/>
        <v>0</v>
      </c>
      <c r="G20" s="436">
        <f t="shared" si="0"/>
        <v>0</v>
      </c>
      <c r="H20" s="436">
        <f t="shared" si="0"/>
        <v>0</v>
      </c>
      <c r="I20" s="436">
        <f t="shared" si="0"/>
        <v>0</v>
      </c>
    </row>
    <row r="21" spans="6:8" ht="15.75">
      <c r="F21" s="437"/>
      <c r="G21" s="437"/>
      <c r="H21" s="437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54">
      <selection activeCell="K42" sqref="K42:L42"/>
    </sheetView>
  </sheetViews>
  <sheetFormatPr defaultColWidth="9.140625" defaultRowHeight="12.75"/>
  <cols>
    <col min="1" max="1" width="4.28125" style="197" customWidth="1"/>
    <col min="2" max="4" width="6.28125" style="197" customWidth="1"/>
    <col min="5" max="5" width="1.7109375" style="197" customWidth="1"/>
    <col min="6" max="6" width="6.28125" style="197" hidden="1" customWidth="1"/>
    <col min="7" max="7" width="6.140625" style="197" customWidth="1"/>
    <col min="8" max="8" width="5.00390625" style="197" customWidth="1"/>
    <col min="9" max="9" width="6.140625" style="197" customWidth="1"/>
    <col min="10" max="10" width="5.140625" style="197" customWidth="1"/>
    <col min="11" max="11" width="6.140625" style="197" customWidth="1"/>
    <col min="12" max="12" width="5.00390625" style="197" customWidth="1"/>
    <col min="13" max="13" width="6.140625" style="197" customWidth="1"/>
    <col min="14" max="14" width="5.140625" style="197" customWidth="1"/>
    <col min="15" max="16384" width="9.140625" style="197" customWidth="1"/>
  </cols>
  <sheetData>
    <row r="1" spans="2:14" ht="15">
      <c r="B1" s="616" t="s">
        <v>555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</row>
    <row r="2" spans="2:14" ht="12.75">
      <c r="B2" s="629" t="s">
        <v>553</v>
      </c>
      <c r="C2" s="629"/>
      <c r="D2" s="629"/>
      <c r="E2" s="629"/>
      <c r="F2" s="733" t="s">
        <v>551</v>
      </c>
      <c r="G2" s="733"/>
      <c r="H2" s="733"/>
      <c r="I2" s="733"/>
      <c r="J2" s="695"/>
      <c r="K2" s="729" t="s">
        <v>658</v>
      </c>
      <c r="L2" s="730"/>
      <c r="M2" s="729" t="s">
        <v>650</v>
      </c>
      <c r="N2" s="730"/>
    </row>
    <row r="3" spans="2:14" ht="12.75">
      <c r="B3" s="608"/>
      <c r="C3" s="609"/>
      <c r="D3" s="609"/>
      <c r="E3" s="610"/>
      <c r="F3" s="608"/>
      <c r="G3" s="609"/>
      <c r="H3" s="609"/>
      <c r="I3" s="609"/>
      <c r="J3" s="610"/>
      <c r="K3" s="626"/>
      <c r="L3" s="626"/>
      <c r="M3" s="626"/>
      <c r="N3" s="626"/>
    </row>
    <row r="4" spans="2:14" ht="12.75">
      <c r="B4" s="608"/>
      <c r="C4" s="609"/>
      <c r="D4" s="609"/>
      <c r="E4" s="610"/>
      <c r="F4" s="608"/>
      <c r="G4" s="609"/>
      <c r="H4" s="609"/>
      <c r="I4" s="609"/>
      <c r="J4" s="610"/>
      <c r="K4" s="626"/>
      <c r="L4" s="626"/>
      <c r="M4" s="626"/>
      <c r="N4" s="626"/>
    </row>
    <row r="5" spans="2:14" ht="12.75">
      <c r="B5" s="608"/>
      <c r="C5" s="609"/>
      <c r="D5" s="609"/>
      <c r="E5" s="610"/>
      <c r="F5" s="608"/>
      <c r="G5" s="609"/>
      <c r="H5" s="609"/>
      <c r="I5" s="609"/>
      <c r="J5" s="610"/>
      <c r="K5" s="626"/>
      <c r="L5" s="626"/>
      <c r="M5" s="626"/>
      <c r="N5" s="626"/>
    </row>
    <row r="6" spans="2:14" ht="12.75">
      <c r="B6" s="608"/>
      <c r="C6" s="609"/>
      <c r="D6" s="609"/>
      <c r="E6" s="610"/>
      <c r="F6" s="608"/>
      <c r="G6" s="609"/>
      <c r="H6" s="609"/>
      <c r="I6" s="609"/>
      <c r="J6" s="610"/>
      <c r="K6" s="626"/>
      <c r="L6" s="626"/>
      <c r="M6" s="626"/>
      <c r="N6" s="626"/>
    </row>
    <row r="7" spans="2:14" ht="12.75">
      <c r="B7" s="608"/>
      <c r="C7" s="609"/>
      <c r="D7" s="609"/>
      <c r="E7" s="610"/>
      <c r="F7" s="608"/>
      <c r="G7" s="609"/>
      <c r="H7" s="609"/>
      <c r="I7" s="609"/>
      <c r="J7" s="610"/>
      <c r="K7" s="626"/>
      <c r="L7" s="626"/>
      <c r="M7" s="626"/>
      <c r="N7" s="626"/>
    </row>
    <row r="8" spans="2:14" ht="12.75">
      <c r="B8" s="608"/>
      <c r="C8" s="609"/>
      <c r="D8" s="609"/>
      <c r="E8" s="610"/>
      <c r="F8" s="608"/>
      <c r="G8" s="609"/>
      <c r="H8" s="609"/>
      <c r="I8" s="609"/>
      <c r="J8" s="610"/>
      <c r="K8" s="626"/>
      <c r="L8" s="626"/>
      <c r="M8" s="626"/>
      <c r="N8" s="626"/>
    </row>
    <row r="9" spans="2:14" ht="12.75">
      <c r="B9" s="608"/>
      <c r="C9" s="609"/>
      <c r="D9" s="609"/>
      <c r="E9" s="610"/>
      <c r="F9" s="608"/>
      <c r="G9" s="609"/>
      <c r="H9" s="609"/>
      <c r="I9" s="609"/>
      <c r="J9" s="610"/>
      <c r="K9" s="626"/>
      <c r="L9" s="626"/>
      <c r="M9" s="626"/>
      <c r="N9" s="626"/>
    </row>
    <row r="10" spans="2:14" ht="12.75">
      <c r="B10" s="608"/>
      <c r="C10" s="609"/>
      <c r="D10" s="609"/>
      <c r="E10" s="610"/>
      <c r="F10" s="608"/>
      <c r="G10" s="609"/>
      <c r="H10" s="609"/>
      <c r="I10" s="609"/>
      <c r="J10" s="610"/>
      <c r="K10" s="626"/>
      <c r="L10" s="626"/>
      <c r="M10" s="626"/>
      <c r="N10" s="626"/>
    </row>
    <row r="11" spans="2:14" ht="12.75">
      <c r="B11" s="608"/>
      <c r="C11" s="609"/>
      <c r="D11" s="609"/>
      <c r="E11" s="610"/>
      <c r="F11" s="608"/>
      <c r="G11" s="609"/>
      <c r="H11" s="609"/>
      <c r="I11" s="609"/>
      <c r="J11" s="610"/>
      <c r="K11" s="626"/>
      <c r="L11" s="626"/>
      <c r="M11" s="626"/>
      <c r="N11" s="626"/>
    </row>
    <row r="12" spans="2:14" ht="12.75">
      <c r="B12" s="594" t="s">
        <v>85</v>
      </c>
      <c r="C12" s="595"/>
      <c r="D12" s="595"/>
      <c r="E12" s="596"/>
      <c r="F12" s="594"/>
      <c r="G12" s="595"/>
      <c r="H12" s="595"/>
      <c r="I12" s="595"/>
      <c r="J12" s="596"/>
      <c r="K12" s="631">
        <f>SUM(K3:L11)</f>
        <v>0</v>
      </c>
      <c r="L12" s="631"/>
      <c r="M12" s="631">
        <f>SUM(M3:N11)</f>
        <v>0</v>
      </c>
      <c r="N12" s="631"/>
    </row>
    <row r="13" spans="2:14" ht="15">
      <c r="B13" s="638" t="s">
        <v>554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</row>
    <row r="14" spans="2:14" ht="12.75">
      <c r="B14" s="629" t="s">
        <v>552</v>
      </c>
      <c r="C14" s="629"/>
      <c r="D14" s="629"/>
      <c r="E14" s="629"/>
      <c r="F14" s="733" t="s">
        <v>551</v>
      </c>
      <c r="G14" s="733"/>
      <c r="H14" s="733"/>
      <c r="I14" s="733"/>
      <c r="J14" s="695"/>
      <c r="K14" s="729" t="s">
        <v>658</v>
      </c>
      <c r="L14" s="730"/>
      <c r="M14" s="729" t="s">
        <v>650</v>
      </c>
      <c r="N14" s="730"/>
    </row>
    <row r="15" spans="2:14" ht="12.75">
      <c r="B15" s="608"/>
      <c r="C15" s="609"/>
      <c r="D15" s="609"/>
      <c r="E15" s="610"/>
      <c r="F15" s="608"/>
      <c r="G15" s="609"/>
      <c r="H15" s="609"/>
      <c r="I15" s="609"/>
      <c r="J15" s="610"/>
      <c r="K15" s="626"/>
      <c r="L15" s="626"/>
      <c r="M15" s="626"/>
      <c r="N15" s="626"/>
    </row>
    <row r="16" spans="2:14" ht="12.75">
      <c r="B16" s="608"/>
      <c r="C16" s="609"/>
      <c r="D16" s="609"/>
      <c r="E16" s="610"/>
      <c r="F16" s="608"/>
      <c r="G16" s="609"/>
      <c r="H16" s="609"/>
      <c r="I16" s="609"/>
      <c r="J16" s="610"/>
      <c r="K16" s="626"/>
      <c r="L16" s="626"/>
      <c r="M16" s="626"/>
      <c r="N16" s="626"/>
    </row>
    <row r="17" spans="2:14" ht="12.75">
      <c r="B17" s="608"/>
      <c r="C17" s="609"/>
      <c r="D17" s="609"/>
      <c r="E17" s="610"/>
      <c r="F17" s="608"/>
      <c r="G17" s="609"/>
      <c r="H17" s="609"/>
      <c r="I17" s="609"/>
      <c r="J17" s="610"/>
      <c r="K17" s="626"/>
      <c r="L17" s="626"/>
      <c r="M17" s="626"/>
      <c r="N17" s="626"/>
    </row>
    <row r="18" spans="2:14" ht="12.75">
      <c r="B18" s="608"/>
      <c r="C18" s="609"/>
      <c r="D18" s="609"/>
      <c r="E18" s="610"/>
      <c r="F18" s="608"/>
      <c r="G18" s="609"/>
      <c r="H18" s="609"/>
      <c r="I18" s="609"/>
      <c r="J18" s="610"/>
      <c r="K18" s="626"/>
      <c r="L18" s="626"/>
      <c r="M18" s="626"/>
      <c r="N18" s="626"/>
    </row>
    <row r="19" spans="2:14" ht="12.75">
      <c r="B19" s="608"/>
      <c r="C19" s="609"/>
      <c r="D19" s="609"/>
      <c r="E19" s="610"/>
      <c r="F19" s="608"/>
      <c r="G19" s="609"/>
      <c r="H19" s="609"/>
      <c r="I19" s="609"/>
      <c r="J19" s="610"/>
      <c r="K19" s="626"/>
      <c r="L19" s="626"/>
      <c r="M19" s="626"/>
      <c r="N19" s="626"/>
    </row>
    <row r="20" spans="2:14" ht="12.75">
      <c r="B20" s="608"/>
      <c r="C20" s="609"/>
      <c r="D20" s="609"/>
      <c r="E20" s="610"/>
      <c r="F20" s="608"/>
      <c r="G20" s="609"/>
      <c r="H20" s="609"/>
      <c r="I20" s="609"/>
      <c r="J20" s="610"/>
      <c r="K20" s="626"/>
      <c r="L20" s="626"/>
      <c r="M20" s="626"/>
      <c r="N20" s="626"/>
    </row>
    <row r="21" spans="2:14" ht="12.75">
      <c r="B21" s="608"/>
      <c r="C21" s="609"/>
      <c r="D21" s="609"/>
      <c r="E21" s="610"/>
      <c r="F21" s="608"/>
      <c r="G21" s="609"/>
      <c r="H21" s="609"/>
      <c r="I21" s="609"/>
      <c r="J21" s="610"/>
      <c r="K21" s="626"/>
      <c r="L21" s="626"/>
      <c r="M21" s="626"/>
      <c r="N21" s="626"/>
    </row>
    <row r="22" spans="2:14" ht="12.75">
      <c r="B22" s="608"/>
      <c r="C22" s="609"/>
      <c r="D22" s="609"/>
      <c r="E22" s="610"/>
      <c r="F22" s="608"/>
      <c r="G22" s="609"/>
      <c r="H22" s="609"/>
      <c r="I22" s="609"/>
      <c r="J22" s="610"/>
      <c r="K22" s="626"/>
      <c r="L22" s="626"/>
      <c r="M22" s="626"/>
      <c r="N22" s="626"/>
    </row>
    <row r="23" spans="2:14" ht="12.75">
      <c r="B23" s="608"/>
      <c r="C23" s="609"/>
      <c r="D23" s="609"/>
      <c r="E23" s="610"/>
      <c r="F23" s="608"/>
      <c r="G23" s="609"/>
      <c r="H23" s="609"/>
      <c r="I23" s="609"/>
      <c r="J23" s="610"/>
      <c r="K23" s="626"/>
      <c r="L23" s="626"/>
      <c r="M23" s="626"/>
      <c r="N23" s="626"/>
    </row>
    <row r="24" spans="2:14" ht="12.75">
      <c r="B24" s="594" t="s">
        <v>85</v>
      </c>
      <c r="C24" s="595"/>
      <c r="D24" s="595"/>
      <c r="E24" s="596"/>
      <c r="F24" s="594"/>
      <c r="G24" s="595"/>
      <c r="H24" s="595"/>
      <c r="I24" s="595"/>
      <c r="J24" s="596"/>
      <c r="K24" s="631">
        <f>SUM(K15:L23)</f>
        <v>0</v>
      </c>
      <c r="L24" s="631"/>
      <c r="M24" s="631">
        <f>SUM(M15:N23)</f>
        <v>0</v>
      </c>
      <c r="N24" s="631"/>
    </row>
    <row r="26" spans="2:14" ht="15">
      <c r="B26" s="638" t="s">
        <v>556</v>
      </c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</row>
    <row r="27" spans="2:14" ht="12.75">
      <c r="B27" s="694" t="s">
        <v>553</v>
      </c>
      <c r="C27" s="733"/>
      <c r="D27" s="733"/>
      <c r="E27" s="733"/>
      <c r="F27" s="695"/>
      <c r="G27" s="731" t="s">
        <v>688</v>
      </c>
      <c r="H27" s="732"/>
      <c r="I27" s="694" t="s">
        <v>557</v>
      </c>
      <c r="J27" s="695"/>
      <c r="K27" s="729" t="s">
        <v>740</v>
      </c>
      <c r="L27" s="730"/>
      <c r="M27" s="694" t="s">
        <v>557</v>
      </c>
      <c r="N27" s="695"/>
    </row>
    <row r="28" spans="2:14" ht="12.75">
      <c r="B28" s="608"/>
      <c r="C28" s="609"/>
      <c r="D28" s="609"/>
      <c r="E28" s="609"/>
      <c r="F28" s="610"/>
      <c r="G28" s="626">
        <v>0</v>
      </c>
      <c r="H28" s="626"/>
      <c r="I28" s="608"/>
      <c r="J28" s="610"/>
      <c r="K28" s="626"/>
      <c r="L28" s="626"/>
      <c r="M28" s="608"/>
      <c r="N28" s="610"/>
    </row>
    <row r="29" spans="2:14" ht="12.75">
      <c r="B29" s="608"/>
      <c r="C29" s="609"/>
      <c r="D29" s="609"/>
      <c r="E29" s="609"/>
      <c r="F29" s="610"/>
      <c r="G29" s="626"/>
      <c r="H29" s="626"/>
      <c r="I29" s="608"/>
      <c r="J29" s="610"/>
      <c r="K29" s="626"/>
      <c r="L29" s="626"/>
      <c r="M29" s="608"/>
      <c r="N29" s="610"/>
    </row>
    <row r="30" spans="2:14" ht="12.75">
      <c r="B30" s="608"/>
      <c r="C30" s="609"/>
      <c r="D30" s="609"/>
      <c r="E30" s="609"/>
      <c r="F30" s="610"/>
      <c r="G30" s="626"/>
      <c r="H30" s="626"/>
      <c r="I30" s="608"/>
      <c r="J30" s="610"/>
      <c r="K30" s="626"/>
      <c r="L30" s="626"/>
      <c r="M30" s="608"/>
      <c r="N30" s="610"/>
    </row>
    <row r="31" spans="2:14" ht="12.75">
      <c r="B31" s="608"/>
      <c r="C31" s="609"/>
      <c r="D31" s="609"/>
      <c r="E31" s="609"/>
      <c r="F31" s="610"/>
      <c r="G31" s="626"/>
      <c r="H31" s="626"/>
      <c r="I31" s="608"/>
      <c r="J31" s="610"/>
      <c r="K31" s="626"/>
      <c r="L31" s="626"/>
      <c r="M31" s="608"/>
      <c r="N31" s="610"/>
    </row>
    <row r="32" spans="2:14" ht="12.75">
      <c r="B32" s="608"/>
      <c r="C32" s="609"/>
      <c r="D32" s="609"/>
      <c r="E32" s="609"/>
      <c r="F32" s="610"/>
      <c r="G32" s="626"/>
      <c r="H32" s="626"/>
      <c r="I32" s="608"/>
      <c r="J32" s="610"/>
      <c r="K32" s="626"/>
      <c r="L32" s="626"/>
      <c r="M32" s="608"/>
      <c r="N32" s="610"/>
    </row>
    <row r="33" spans="2:14" ht="12.75">
      <c r="B33" s="608"/>
      <c r="C33" s="609"/>
      <c r="D33" s="609"/>
      <c r="E33" s="609"/>
      <c r="F33" s="610"/>
      <c r="G33" s="626"/>
      <c r="H33" s="626"/>
      <c r="I33" s="608"/>
      <c r="J33" s="610"/>
      <c r="K33" s="626"/>
      <c r="L33" s="626"/>
      <c r="M33" s="608"/>
      <c r="N33" s="610"/>
    </row>
    <row r="34" spans="2:14" ht="12.75">
      <c r="B34" s="608"/>
      <c r="C34" s="609"/>
      <c r="D34" s="609"/>
      <c r="E34" s="609"/>
      <c r="F34" s="610"/>
      <c r="G34" s="626"/>
      <c r="H34" s="626"/>
      <c r="I34" s="608"/>
      <c r="J34" s="610"/>
      <c r="K34" s="626"/>
      <c r="L34" s="626"/>
      <c r="M34" s="608"/>
      <c r="N34" s="610"/>
    </row>
    <row r="35" spans="2:14" ht="12.75">
      <c r="B35" s="608"/>
      <c r="C35" s="609"/>
      <c r="D35" s="609"/>
      <c r="E35" s="609"/>
      <c r="F35" s="610"/>
      <c r="G35" s="626"/>
      <c r="H35" s="626"/>
      <c r="I35" s="608"/>
      <c r="J35" s="610"/>
      <c r="K35" s="626"/>
      <c r="L35" s="626"/>
      <c r="M35" s="608"/>
      <c r="N35" s="610"/>
    </row>
    <row r="36" spans="2:14" ht="12.75">
      <c r="B36" s="608"/>
      <c r="C36" s="609"/>
      <c r="D36" s="609"/>
      <c r="E36" s="609"/>
      <c r="F36" s="610"/>
      <c r="G36" s="626"/>
      <c r="H36" s="626"/>
      <c r="I36" s="608"/>
      <c r="J36" s="610"/>
      <c r="K36" s="626"/>
      <c r="L36" s="626"/>
      <c r="M36" s="608"/>
      <c r="N36" s="610"/>
    </row>
    <row r="37" spans="2:14" ht="12.75">
      <c r="B37" s="608"/>
      <c r="C37" s="609"/>
      <c r="D37" s="609"/>
      <c r="E37" s="609"/>
      <c r="F37" s="610"/>
      <c r="G37" s="626"/>
      <c r="H37" s="626"/>
      <c r="I37" s="608"/>
      <c r="J37" s="610"/>
      <c r="K37" s="626"/>
      <c r="L37" s="626"/>
      <c r="M37" s="608"/>
      <c r="N37" s="610"/>
    </row>
    <row r="38" spans="2:14" ht="12.75">
      <c r="B38" s="594"/>
      <c r="C38" s="595"/>
      <c r="D38" s="595"/>
      <c r="E38" s="595"/>
      <c r="F38" s="596"/>
      <c r="G38" s="614">
        <f>SUM(G28:H37)</f>
        <v>0</v>
      </c>
      <c r="H38" s="615"/>
      <c r="I38" s="594"/>
      <c r="J38" s="596"/>
      <c r="K38" s="614">
        <f>SUM(K28:L37)</f>
        <v>0</v>
      </c>
      <c r="L38" s="615"/>
      <c r="M38" s="594"/>
      <c r="N38" s="596"/>
    </row>
    <row r="39" spans="2:14" ht="15">
      <c r="B39" s="638" t="s">
        <v>558</v>
      </c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</row>
    <row r="40" spans="2:14" ht="12.75">
      <c r="B40" s="694" t="s">
        <v>552</v>
      </c>
      <c r="C40" s="733"/>
      <c r="D40" s="733"/>
      <c r="E40" s="733"/>
      <c r="F40" s="695"/>
      <c r="G40" s="598" t="str">
        <f>G27</f>
        <v>31.12.2014г.</v>
      </c>
      <c r="H40" s="598"/>
      <c r="I40" s="694" t="s">
        <v>557</v>
      </c>
      <c r="J40" s="695"/>
      <c r="K40" s="598" t="str">
        <f>K27</f>
        <v>31.12.2016г.</v>
      </c>
      <c r="L40" s="598"/>
      <c r="M40" s="694" t="s">
        <v>557</v>
      </c>
      <c r="N40" s="695"/>
    </row>
    <row r="41" spans="2:14" ht="12.75">
      <c r="B41" s="608" t="s">
        <v>699</v>
      </c>
      <c r="C41" s="609"/>
      <c r="D41" s="609"/>
      <c r="E41" s="609"/>
      <c r="F41" s="610"/>
      <c r="G41" s="626">
        <v>5148</v>
      </c>
      <c r="H41" s="626"/>
      <c r="I41" s="608"/>
      <c r="J41" s="610"/>
      <c r="K41" s="626">
        <v>4</v>
      </c>
      <c r="L41" s="626"/>
      <c r="M41" s="608"/>
      <c r="N41" s="610"/>
    </row>
    <row r="42" spans="2:14" ht="12.75">
      <c r="B42" s="608"/>
      <c r="C42" s="609"/>
      <c r="D42" s="609"/>
      <c r="E42" s="609"/>
      <c r="F42" s="610"/>
      <c r="G42" s="626"/>
      <c r="H42" s="626"/>
      <c r="I42" s="608"/>
      <c r="J42" s="610"/>
      <c r="K42" s="626"/>
      <c r="L42" s="626"/>
      <c r="M42" s="608"/>
      <c r="N42" s="610"/>
    </row>
    <row r="43" spans="2:14" ht="12.75">
      <c r="B43" s="608"/>
      <c r="C43" s="609"/>
      <c r="D43" s="609"/>
      <c r="E43" s="609"/>
      <c r="F43" s="610"/>
      <c r="G43" s="626"/>
      <c r="H43" s="626"/>
      <c r="I43" s="608"/>
      <c r="J43" s="610"/>
      <c r="K43" s="626"/>
      <c r="L43" s="626"/>
      <c r="M43" s="608"/>
      <c r="N43" s="610"/>
    </row>
    <row r="44" spans="2:14" ht="12.75">
      <c r="B44" s="608"/>
      <c r="C44" s="609"/>
      <c r="D44" s="609"/>
      <c r="E44" s="609"/>
      <c r="F44" s="610"/>
      <c r="G44" s="626"/>
      <c r="H44" s="626"/>
      <c r="I44" s="608"/>
      <c r="J44" s="610"/>
      <c r="K44" s="626"/>
      <c r="L44" s="626"/>
      <c r="M44" s="608"/>
      <c r="N44" s="610"/>
    </row>
    <row r="45" spans="2:14" ht="12.75">
      <c r="B45" s="608"/>
      <c r="C45" s="609"/>
      <c r="D45" s="609"/>
      <c r="E45" s="609"/>
      <c r="F45" s="610"/>
      <c r="G45" s="626"/>
      <c r="H45" s="626"/>
      <c r="I45" s="608"/>
      <c r="J45" s="610"/>
      <c r="K45" s="626"/>
      <c r="L45" s="626"/>
      <c r="M45" s="608"/>
      <c r="N45" s="610"/>
    </row>
    <row r="46" spans="2:14" ht="12.75">
      <c r="B46" s="608"/>
      <c r="C46" s="609"/>
      <c r="D46" s="609"/>
      <c r="E46" s="609"/>
      <c r="F46" s="610"/>
      <c r="G46" s="626"/>
      <c r="H46" s="626"/>
      <c r="I46" s="608"/>
      <c r="J46" s="610"/>
      <c r="K46" s="626"/>
      <c r="L46" s="626"/>
      <c r="M46" s="608"/>
      <c r="N46" s="610"/>
    </row>
    <row r="47" spans="2:14" ht="12.75">
      <c r="B47" s="608"/>
      <c r="C47" s="609"/>
      <c r="D47" s="609"/>
      <c r="E47" s="609"/>
      <c r="F47" s="610"/>
      <c r="G47" s="626"/>
      <c r="H47" s="626"/>
      <c r="I47" s="608"/>
      <c r="J47" s="610"/>
      <c r="K47" s="626"/>
      <c r="L47" s="626"/>
      <c r="M47" s="608"/>
      <c r="N47" s="610"/>
    </row>
    <row r="48" spans="2:14" ht="12.75">
      <c r="B48" s="608"/>
      <c r="C48" s="609"/>
      <c r="D48" s="609"/>
      <c r="E48" s="609"/>
      <c r="F48" s="610"/>
      <c r="G48" s="626"/>
      <c r="H48" s="626"/>
      <c r="I48" s="608"/>
      <c r="J48" s="610"/>
      <c r="K48" s="626"/>
      <c r="L48" s="626"/>
      <c r="M48" s="608"/>
      <c r="N48" s="610"/>
    </row>
    <row r="49" spans="2:14" ht="12.75">
      <c r="B49" s="608"/>
      <c r="C49" s="609"/>
      <c r="D49" s="609"/>
      <c r="E49" s="609"/>
      <c r="F49" s="610"/>
      <c r="G49" s="626"/>
      <c r="H49" s="626"/>
      <c r="I49" s="608"/>
      <c r="J49" s="610"/>
      <c r="K49" s="626"/>
      <c r="L49" s="626"/>
      <c r="M49" s="608"/>
      <c r="N49" s="610"/>
    </row>
    <row r="50" spans="2:14" ht="12.75">
      <c r="B50" s="608"/>
      <c r="C50" s="609"/>
      <c r="D50" s="609"/>
      <c r="E50" s="609"/>
      <c r="F50" s="610"/>
      <c r="G50" s="626"/>
      <c r="H50" s="626"/>
      <c r="I50" s="608"/>
      <c r="J50" s="610"/>
      <c r="K50" s="626"/>
      <c r="L50" s="626"/>
      <c r="M50" s="608"/>
      <c r="N50" s="610"/>
    </row>
    <row r="51" spans="2:14" ht="12.75">
      <c r="B51" s="594"/>
      <c r="C51" s="595"/>
      <c r="D51" s="595"/>
      <c r="E51" s="595"/>
      <c r="F51" s="596"/>
      <c r="G51" s="614">
        <f>SUM(G40:H50)</f>
        <v>5148</v>
      </c>
      <c r="H51" s="615"/>
      <c r="I51" s="594"/>
      <c r="J51" s="596"/>
      <c r="K51" s="614">
        <f>SUM(K40:L50)</f>
        <v>4</v>
      </c>
      <c r="L51" s="615"/>
      <c r="M51" s="594"/>
      <c r="N51" s="596"/>
    </row>
    <row r="53" spans="2:14" ht="15">
      <c r="B53" s="624" t="s">
        <v>537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</row>
    <row r="54" spans="2:14" ht="12.75">
      <c r="B54" s="629" t="s">
        <v>523</v>
      </c>
      <c r="C54" s="629"/>
      <c r="D54" s="629"/>
      <c r="E54" s="629"/>
      <c r="F54" s="629"/>
      <c r="G54" s="388" t="s">
        <v>524</v>
      </c>
      <c r="H54" s="388" t="s">
        <v>527</v>
      </c>
      <c r="I54" s="388" t="s">
        <v>525</v>
      </c>
      <c r="J54" s="629" t="s">
        <v>526</v>
      </c>
      <c r="K54" s="629"/>
      <c r="L54" s="629"/>
      <c r="M54" s="629"/>
      <c r="N54" s="629"/>
    </row>
    <row r="55" spans="2:14" ht="12.75">
      <c r="B55" s="728"/>
      <c r="C55" s="728"/>
      <c r="D55" s="728"/>
      <c r="E55" s="728"/>
      <c r="F55" s="728"/>
      <c r="G55" s="238"/>
      <c r="H55" s="389"/>
      <c r="I55" s="238"/>
      <c r="J55" s="728"/>
      <c r="K55" s="728"/>
      <c r="L55" s="728"/>
      <c r="M55" s="728"/>
      <c r="N55" s="728"/>
    </row>
    <row r="56" spans="2:14" ht="12.75">
      <c r="B56" s="728"/>
      <c r="C56" s="728"/>
      <c r="D56" s="728"/>
      <c r="E56" s="728"/>
      <c r="F56" s="728"/>
      <c r="G56" s="238"/>
      <c r="H56" s="389"/>
      <c r="I56" s="238"/>
      <c r="J56" s="728"/>
      <c r="K56" s="728"/>
      <c r="L56" s="728"/>
      <c r="M56" s="728"/>
      <c r="N56" s="728"/>
    </row>
    <row r="57" spans="2:14" ht="12.75">
      <c r="B57" s="728"/>
      <c r="C57" s="728"/>
      <c r="D57" s="728"/>
      <c r="E57" s="728"/>
      <c r="F57" s="728"/>
      <c r="G57" s="238"/>
      <c r="H57" s="389"/>
      <c r="I57" s="238"/>
      <c r="J57" s="728"/>
      <c r="K57" s="728"/>
      <c r="L57" s="728"/>
      <c r="M57" s="728"/>
      <c r="N57" s="728"/>
    </row>
    <row r="58" spans="2:14" ht="12.75">
      <c r="B58" s="728"/>
      <c r="C58" s="728"/>
      <c r="D58" s="728"/>
      <c r="E58" s="728"/>
      <c r="F58" s="728"/>
      <c r="G58" s="238"/>
      <c r="H58" s="389"/>
      <c r="I58" s="238"/>
      <c r="J58" s="728"/>
      <c r="K58" s="728"/>
      <c r="L58" s="728"/>
      <c r="M58" s="728"/>
      <c r="N58" s="728"/>
    </row>
    <row r="59" spans="2:14" ht="12.75">
      <c r="B59" s="728"/>
      <c r="C59" s="728"/>
      <c r="D59" s="728"/>
      <c r="E59" s="728"/>
      <c r="F59" s="728"/>
      <c r="G59" s="238"/>
      <c r="H59" s="389"/>
      <c r="I59" s="238"/>
      <c r="J59" s="728"/>
      <c r="K59" s="728"/>
      <c r="L59" s="728"/>
      <c r="M59" s="728"/>
      <c r="N59" s="728"/>
    </row>
    <row r="60" spans="2:14" ht="12.75">
      <c r="B60" s="728"/>
      <c r="C60" s="728"/>
      <c r="D60" s="728"/>
      <c r="E60" s="728"/>
      <c r="F60" s="728"/>
      <c r="G60" s="238"/>
      <c r="H60" s="389"/>
      <c r="I60" s="238"/>
      <c r="J60" s="728"/>
      <c r="K60" s="728"/>
      <c r="L60" s="728"/>
      <c r="M60" s="728"/>
      <c r="N60" s="728"/>
    </row>
    <row r="61" spans="2:14" ht="12.75">
      <c r="B61" s="728"/>
      <c r="C61" s="728"/>
      <c r="D61" s="728"/>
      <c r="E61" s="728"/>
      <c r="F61" s="728"/>
      <c r="G61" s="238"/>
      <c r="H61" s="389"/>
      <c r="I61" s="238"/>
      <c r="J61" s="728"/>
      <c r="K61" s="728"/>
      <c r="L61" s="728"/>
      <c r="M61" s="728"/>
      <c r="N61" s="728"/>
    </row>
    <row r="62" spans="2:14" ht="12.75">
      <c r="B62" s="728"/>
      <c r="C62" s="728"/>
      <c r="D62" s="728"/>
      <c r="E62" s="728"/>
      <c r="F62" s="728"/>
      <c r="G62" s="238"/>
      <c r="H62" s="389"/>
      <c r="I62" s="238"/>
      <c r="J62" s="728"/>
      <c r="K62" s="728"/>
      <c r="L62" s="728"/>
      <c r="M62" s="728"/>
      <c r="N62" s="728"/>
    </row>
    <row r="63" spans="2:14" ht="12.75">
      <c r="B63" s="728"/>
      <c r="C63" s="728"/>
      <c r="D63" s="728"/>
      <c r="E63" s="728"/>
      <c r="F63" s="728"/>
      <c r="G63" s="238"/>
      <c r="H63" s="389"/>
      <c r="I63" s="238"/>
      <c r="J63" s="728"/>
      <c r="K63" s="728"/>
      <c r="L63" s="728"/>
      <c r="M63" s="728"/>
      <c r="N63" s="728"/>
    </row>
    <row r="64" spans="2:14" ht="12.75">
      <c r="B64" s="728"/>
      <c r="C64" s="728"/>
      <c r="D64" s="728"/>
      <c r="E64" s="728"/>
      <c r="F64" s="728"/>
      <c r="G64" s="238"/>
      <c r="H64" s="389"/>
      <c r="I64" s="238"/>
      <c r="J64" s="728"/>
      <c r="K64" s="728"/>
      <c r="L64" s="728"/>
      <c r="M64" s="728"/>
      <c r="N64" s="728"/>
    </row>
    <row r="65" spans="2:14" ht="15">
      <c r="B65" s="638" t="s">
        <v>542</v>
      </c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</row>
    <row r="66" spans="2:15" ht="12.75">
      <c r="B66" s="604" t="s">
        <v>523</v>
      </c>
      <c r="C66" s="617"/>
      <c r="D66" s="617"/>
      <c r="E66" s="617"/>
      <c r="F66" s="617"/>
      <c r="G66" s="617"/>
      <c r="H66" s="617"/>
      <c r="I66" s="617"/>
      <c r="J66" s="605"/>
      <c r="K66" s="657" t="s">
        <v>528</v>
      </c>
      <c r="L66" s="657"/>
      <c r="M66" s="657" t="s">
        <v>529</v>
      </c>
      <c r="N66" s="657"/>
      <c r="O66" s="387"/>
    </row>
    <row r="67" spans="2:15" ht="12.75">
      <c r="B67" s="606"/>
      <c r="C67" s="618"/>
      <c r="D67" s="618"/>
      <c r="E67" s="618"/>
      <c r="F67" s="618"/>
      <c r="G67" s="618"/>
      <c r="H67" s="618"/>
      <c r="I67" s="618"/>
      <c r="J67" s="607"/>
      <c r="K67" s="657"/>
      <c r="L67" s="657"/>
      <c r="M67" s="657"/>
      <c r="N67" s="657"/>
      <c r="O67" s="387"/>
    </row>
    <row r="68" spans="2:15" ht="12.75">
      <c r="B68" s="698"/>
      <c r="C68" s="699"/>
      <c r="D68" s="699"/>
      <c r="E68" s="699"/>
      <c r="F68" s="699"/>
      <c r="G68" s="699"/>
      <c r="H68" s="699"/>
      <c r="I68" s="699"/>
      <c r="J68" s="700"/>
      <c r="K68" s="626"/>
      <c r="L68" s="626"/>
      <c r="M68" s="626">
        <v>0</v>
      </c>
      <c r="N68" s="626"/>
      <c r="O68" s="387"/>
    </row>
    <row r="69" spans="2:15" ht="12.75">
      <c r="B69" s="698"/>
      <c r="C69" s="699"/>
      <c r="D69" s="699"/>
      <c r="E69" s="699"/>
      <c r="F69" s="699"/>
      <c r="G69" s="699"/>
      <c r="H69" s="699"/>
      <c r="I69" s="699"/>
      <c r="J69" s="700"/>
      <c r="K69" s="626"/>
      <c r="L69" s="626"/>
      <c r="M69" s="626"/>
      <c r="N69" s="626"/>
      <c r="O69" s="387"/>
    </row>
    <row r="70" spans="2:15" ht="12.75">
      <c r="B70" s="698"/>
      <c r="C70" s="699"/>
      <c r="D70" s="699"/>
      <c r="E70" s="699"/>
      <c r="F70" s="699"/>
      <c r="G70" s="699"/>
      <c r="H70" s="699"/>
      <c r="I70" s="699"/>
      <c r="J70" s="700"/>
      <c r="K70" s="626"/>
      <c r="L70" s="626"/>
      <c r="M70" s="626"/>
      <c r="N70" s="626"/>
      <c r="O70" s="387"/>
    </row>
    <row r="71" spans="2:15" ht="12.75">
      <c r="B71" s="698"/>
      <c r="C71" s="699"/>
      <c r="D71" s="699"/>
      <c r="E71" s="699"/>
      <c r="F71" s="699"/>
      <c r="G71" s="699"/>
      <c r="H71" s="699"/>
      <c r="I71" s="699"/>
      <c r="J71" s="700"/>
      <c r="K71" s="626"/>
      <c r="L71" s="626"/>
      <c r="M71" s="626"/>
      <c r="N71" s="626"/>
      <c r="O71" s="387"/>
    </row>
    <row r="72" spans="2:15" ht="12.75">
      <c r="B72" s="698"/>
      <c r="C72" s="699"/>
      <c r="D72" s="699"/>
      <c r="E72" s="699"/>
      <c r="F72" s="699"/>
      <c r="G72" s="699"/>
      <c r="H72" s="699"/>
      <c r="I72" s="699"/>
      <c r="J72" s="700"/>
      <c r="K72" s="626"/>
      <c r="L72" s="626"/>
      <c r="M72" s="626"/>
      <c r="N72" s="626"/>
      <c r="O72" s="387"/>
    </row>
    <row r="73" spans="2:15" ht="12.75">
      <c r="B73" s="698"/>
      <c r="C73" s="699"/>
      <c r="D73" s="699"/>
      <c r="E73" s="699"/>
      <c r="F73" s="699"/>
      <c r="G73" s="699"/>
      <c r="H73" s="699"/>
      <c r="I73" s="699"/>
      <c r="J73" s="700"/>
      <c r="K73" s="626"/>
      <c r="L73" s="626"/>
      <c r="M73" s="626"/>
      <c r="N73" s="626"/>
      <c r="O73" s="387"/>
    </row>
    <row r="74" spans="2:15" ht="12.75">
      <c r="B74" s="698"/>
      <c r="C74" s="699"/>
      <c r="D74" s="699"/>
      <c r="E74" s="699"/>
      <c r="F74" s="699"/>
      <c r="G74" s="699"/>
      <c r="H74" s="699"/>
      <c r="I74" s="699"/>
      <c r="J74" s="700"/>
      <c r="K74" s="626"/>
      <c r="L74" s="626"/>
      <c r="M74" s="626"/>
      <c r="N74" s="626"/>
      <c r="O74" s="387"/>
    </row>
    <row r="75" spans="2:15" ht="12.75">
      <c r="B75" s="698"/>
      <c r="C75" s="699"/>
      <c r="D75" s="699"/>
      <c r="E75" s="699"/>
      <c r="F75" s="699"/>
      <c r="G75" s="699"/>
      <c r="H75" s="699"/>
      <c r="I75" s="699"/>
      <c r="J75" s="700"/>
      <c r="K75" s="626"/>
      <c r="L75" s="626"/>
      <c r="M75" s="626"/>
      <c r="N75" s="626"/>
      <c r="O75" s="387"/>
    </row>
    <row r="76" spans="2:15" ht="12.75">
      <c r="B76" s="698"/>
      <c r="C76" s="699"/>
      <c r="D76" s="699"/>
      <c r="E76" s="699"/>
      <c r="F76" s="699"/>
      <c r="G76" s="699"/>
      <c r="H76" s="699"/>
      <c r="I76" s="699"/>
      <c r="J76" s="700"/>
      <c r="K76" s="626"/>
      <c r="L76" s="626"/>
      <c r="M76" s="626"/>
      <c r="N76" s="626"/>
      <c r="O76" s="387"/>
    </row>
    <row r="77" spans="2:14" ht="12.75">
      <c r="B77" s="698"/>
      <c r="C77" s="699"/>
      <c r="D77" s="699"/>
      <c r="E77" s="699"/>
      <c r="F77" s="699"/>
      <c r="G77" s="699"/>
      <c r="H77" s="699"/>
      <c r="I77" s="699"/>
      <c r="J77" s="700"/>
      <c r="K77" s="626"/>
      <c r="L77" s="626"/>
      <c r="M77" s="626"/>
      <c r="N77" s="626"/>
    </row>
    <row r="78" spans="2:14" ht="12.75">
      <c r="B78" s="658" t="s">
        <v>85</v>
      </c>
      <c r="C78" s="659"/>
      <c r="D78" s="659"/>
      <c r="E78" s="659"/>
      <c r="F78" s="659"/>
      <c r="G78" s="659"/>
      <c r="H78" s="659"/>
      <c r="I78" s="659"/>
      <c r="J78" s="660"/>
      <c r="K78" s="631">
        <f>SUM(K68:L77)</f>
        <v>0</v>
      </c>
      <c r="L78" s="631"/>
      <c r="M78" s="631">
        <f>SUM(M68:N77)</f>
        <v>0</v>
      </c>
      <c r="N78" s="631"/>
    </row>
    <row r="79" spans="2:14" s="393" customFormat="1" ht="15">
      <c r="B79" s="593" t="s">
        <v>545</v>
      </c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</row>
    <row r="80" spans="2:14" ht="12.75">
      <c r="B80" s="604" t="s">
        <v>523</v>
      </c>
      <c r="C80" s="617"/>
      <c r="D80" s="617"/>
      <c r="E80" s="617"/>
      <c r="F80" s="605"/>
      <c r="G80" s="734" t="s">
        <v>546</v>
      </c>
      <c r="H80" s="735"/>
      <c r="I80" s="734" t="s">
        <v>547</v>
      </c>
      <c r="J80" s="735"/>
      <c r="K80" s="734" t="s">
        <v>549</v>
      </c>
      <c r="L80" s="735"/>
      <c r="M80" s="734" t="s">
        <v>546</v>
      </c>
      <c r="N80" s="735"/>
    </row>
    <row r="81" spans="2:14" ht="12.75">
      <c r="B81" s="606"/>
      <c r="C81" s="618"/>
      <c r="D81" s="618"/>
      <c r="E81" s="618"/>
      <c r="F81" s="607"/>
      <c r="G81" s="731" t="s">
        <v>650</v>
      </c>
      <c r="H81" s="732"/>
      <c r="I81" s="731" t="s">
        <v>650</v>
      </c>
      <c r="J81" s="732"/>
      <c r="K81" s="731" t="str">
        <f>I81</f>
        <v>31.12.2010г.</v>
      </c>
      <c r="L81" s="732"/>
      <c r="M81" s="731" t="str">
        <f>K81</f>
        <v>31.12.2010г.</v>
      </c>
      <c r="N81" s="732"/>
    </row>
    <row r="82" spans="2:14" ht="12.75">
      <c r="B82" s="608"/>
      <c r="C82" s="609"/>
      <c r="D82" s="609"/>
      <c r="E82" s="609"/>
      <c r="F82" s="610"/>
      <c r="G82" s="626"/>
      <c r="H82" s="626"/>
      <c r="I82" s="626"/>
      <c r="J82" s="626"/>
      <c r="K82" s="626"/>
      <c r="L82" s="626"/>
      <c r="M82" s="626"/>
      <c r="N82" s="626"/>
    </row>
    <row r="83" spans="2:14" ht="12.75">
      <c r="B83" s="608"/>
      <c r="C83" s="609"/>
      <c r="D83" s="609"/>
      <c r="E83" s="609"/>
      <c r="F83" s="610"/>
      <c r="G83" s="626"/>
      <c r="H83" s="626"/>
      <c r="I83" s="626"/>
      <c r="J83" s="626"/>
      <c r="K83" s="626"/>
      <c r="L83" s="626"/>
      <c r="M83" s="626"/>
      <c r="N83" s="626"/>
    </row>
    <row r="84" spans="2:14" ht="12.75">
      <c r="B84" s="608"/>
      <c r="C84" s="609"/>
      <c r="D84" s="609"/>
      <c r="E84" s="609"/>
      <c r="F84" s="610"/>
      <c r="G84" s="626"/>
      <c r="H84" s="626"/>
      <c r="I84" s="626"/>
      <c r="J84" s="626"/>
      <c r="K84" s="626"/>
      <c r="L84" s="626"/>
      <c r="M84" s="626"/>
      <c r="N84" s="626"/>
    </row>
    <row r="85" spans="2:14" ht="12.75">
      <c r="B85" s="608"/>
      <c r="C85" s="609"/>
      <c r="D85" s="609"/>
      <c r="E85" s="609"/>
      <c r="F85" s="610"/>
      <c r="G85" s="626"/>
      <c r="H85" s="626"/>
      <c r="I85" s="626"/>
      <c r="J85" s="626"/>
      <c r="K85" s="626"/>
      <c r="L85" s="626"/>
      <c r="M85" s="626"/>
      <c r="N85" s="626"/>
    </row>
    <row r="86" spans="2:14" ht="12.75">
      <c r="B86" s="608"/>
      <c r="C86" s="609"/>
      <c r="D86" s="609"/>
      <c r="E86" s="609"/>
      <c r="F86" s="610"/>
      <c r="G86" s="626"/>
      <c r="H86" s="626"/>
      <c r="I86" s="626"/>
      <c r="J86" s="626"/>
      <c r="K86" s="626"/>
      <c r="L86" s="626"/>
      <c r="M86" s="626"/>
      <c r="N86" s="626"/>
    </row>
    <row r="87" spans="2:14" ht="12.75">
      <c r="B87" s="608"/>
      <c r="C87" s="609"/>
      <c r="D87" s="609"/>
      <c r="E87" s="609"/>
      <c r="F87" s="610"/>
      <c r="G87" s="626"/>
      <c r="H87" s="626"/>
      <c r="I87" s="626"/>
      <c r="J87" s="626"/>
      <c r="K87" s="626"/>
      <c r="L87" s="626"/>
      <c r="M87" s="626"/>
      <c r="N87" s="626"/>
    </row>
    <row r="88" spans="2:14" ht="12.75">
      <c r="B88" s="608"/>
      <c r="C88" s="609"/>
      <c r="D88" s="609"/>
      <c r="E88" s="609"/>
      <c r="F88" s="610"/>
      <c r="G88" s="626"/>
      <c r="H88" s="626"/>
      <c r="I88" s="626"/>
      <c r="J88" s="626"/>
      <c r="K88" s="626"/>
      <c r="L88" s="626"/>
      <c r="M88" s="626"/>
      <c r="N88" s="626"/>
    </row>
    <row r="89" spans="2:14" ht="12.75">
      <c r="B89" s="608"/>
      <c r="C89" s="609"/>
      <c r="D89" s="609"/>
      <c r="E89" s="609"/>
      <c r="F89" s="610"/>
      <c r="G89" s="626"/>
      <c r="H89" s="626"/>
      <c r="I89" s="626"/>
      <c r="J89" s="626"/>
      <c r="K89" s="626"/>
      <c r="L89" s="626"/>
      <c r="M89" s="626"/>
      <c r="N89" s="626"/>
    </row>
    <row r="90" spans="2:15" ht="12.75">
      <c r="B90" s="608"/>
      <c r="C90" s="609"/>
      <c r="D90" s="609"/>
      <c r="E90" s="609"/>
      <c r="F90" s="610"/>
      <c r="G90" s="626"/>
      <c r="H90" s="626"/>
      <c r="I90" s="626"/>
      <c r="J90" s="626"/>
      <c r="K90" s="626"/>
      <c r="L90" s="626"/>
      <c r="M90" s="626"/>
      <c r="N90" s="626"/>
      <c r="O90" s="197" t="s">
        <v>30</v>
      </c>
    </row>
    <row r="91" spans="2:14" ht="12.75">
      <c r="B91" s="608"/>
      <c r="C91" s="609"/>
      <c r="D91" s="609"/>
      <c r="E91" s="609"/>
      <c r="F91" s="610"/>
      <c r="G91" s="626"/>
      <c r="H91" s="626"/>
      <c r="I91" s="626"/>
      <c r="J91" s="626"/>
      <c r="K91" s="626"/>
      <c r="L91" s="626"/>
      <c r="M91" s="626"/>
      <c r="N91" s="626"/>
    </row>
    <row r="92" spans="2:14" ht="12.75">
      <c r="B92" s="594" t="s">
        <v>85</v>
      </c>
      <c r="C92" s="595"/>
      <c r="D92" s="595"/>
      <c r="E92" s="595"/>
      <c r="F92" s="596"/>
      <c r="G92" s="631">
        <f>SUM(G82:H91)</f>
        <v>0</v>
      </c>
      <c r="H92" s="631"/>
      <c r="I92" s="631">
        <f>SUM(I82:J91)</f>
        <v>0</v>
      </c>
      <c r="J92" s="631"/>
      <c r="K92" s="631">
        <f>SUM(K82:L91)</f>
        <v>0</v>
      </c>
      <c r="L92" s="631"/>
      <c r="M92" s="631">
        <f>SUM(M82:N91)</f>
        <v>0</v>
      </c>
      <c r="N92" s="631"/>
    </row>
    <row r="94" spans="2:14" ht="15">
      <c r="B94" s="624" t="s">
        <v>536</v>
      </c>
      <c r="C94" s="624"/>
      <c r="D94" s="624"/>
      <c r="E94" s="624"/>
      <c r="F94" s="624"/>
      <c r="G94" s="624"/>
      <c r="H94" s="624"/>
      <c r="I94" s="624"/>
      <c r="J94" s="624"/>
      <c r="K94" s="624"/>
      <c r="L94" s="624"/>
      <c r="M94" s="624"/>
      <c r="N94" s="624"/>
    </row>
    <row r="95" spans="2:14" ht="12.75">
      <c r="B95" s="629" t="s">
        <v>530</v>
      </c>
      <c r="C95" s="629"/>
      <c r="D95" s="629"/>
      <c r="E95" s="629"/>
      <c r="F95" s="629"/>
      <c r="G95" s="388" t="s">
        <v>524</v>
      </c>
      <c r="H95" s="388" t="s">
        <v>527</v>
      </c>
      <c r="I95" s="388" t="s">
        <v>525</v>
      </c>
      <c r="J95" s="629" t="s">
        <v>526</v>
      </c>
      <c r="K95" s="629"/>
      <c r="L95" s="629"/>
      <c r="M95" s="629"/>
      <c r="N95" s="629"/>
    </row>
    <row r="96" spans="2:14" ht="12.75">
      <c r="B96" s="728" t="s">
        <v>699</v>
      </c>
      <c r="C96" s="728"/>
      <c r="D96" s="728"/>
      <c r="E96" s="728"/>
      <c r="F96" s="728"/>
      <c r="G96" s="238" t="s">
        <v>640</v>
      </c>
      <c r="H96" s="389">
        <v>0.11</v>
      </c>
      <c r="I96" s="238">
        <v>8.2015</v>
      </c>
      <c r="J96" s="728" t="s">
        <v>657</v>
      </c>
      <c r="K96" s="728"/>
      <c r="L96" s="728"/>
      <c r="M96" s="728"/>
      <c r="N96" s="728"/>
    </row>
    <row r="97" spans="2:14" ht="12.75">
      <c r="B97" s="728"/>
      <c r="C97" s="728"/>
      <c r="D97" s="728"/>
      <c r="E97" s="728"/>
      <c r="F97" s="728"/>
      <c r="G97" s="238"/>
      <c r="H97" s="389"/>
      <c r="I97" s="238"/>
      <c r="J97" s="728"/>
      <c r="K97" s="728"/>
      <c r="L97" s="728"/>
      <c r="M97" s="728"/>
      <c r="N97" s="728"/>
    </row>
    <row r="98" spans="2:14" ht="12.75">
      <c r="B98" s="728"/>
      <c r="C98" s="728"/>
      <c r="D98" s="728"/>
      <c r="E98" s="728"/>
      <c r="F98" s="728"/>
      <c r="G98" s="238"/>
      <c r="H98" s="389"/>
      <c r="I98" s="238"/>
      <c r="J98" s="728"/>
      <c r="K98" s="728"/>
      <c r="L98" s="728"/>
      <c r="M98" s="728"/>
      <c r="N98" s="728"/>
    </row>
    <row r="99" spans="2:14" ht="12.75">
      <c r="B99" s="728"/>
      <c r="C99" s="728"/>
      <c r="D99" s="728"/>
      <c r="E99" s="728"/>
      <c r="F99" s="728"/>
      <c r="G99" s="238"/>
      <c r="H99" s="389"/>
      <c r="I99" s="238"/>
      <c r="J99" s="728"/>
      <c r="K99" s="728"/>
      <c r="L99" s="728"/>
      <c r="M99" s="728"/>
      <c r="N99" s="728"/>
    </row>
    <row r="100" spans="2:14" ht="12.75">
      <c r="B100" s="728"/>
      <c r="C100" s="728"/>
      <c r="D100" s="728"/>
      <c r="E100" s="728"/>
      <c r="F100" s="728"/>
      <c r="G100" s="238"/>
      <c r="H100" s="389"/>
      <c r="I100" s="238"/>
      <c r="J100" s="728"/>
      <c r="K100" s="728"/>
      <c r="L100" s="728"/>
      <c r="M100" s="728"/>
      <c r="N100" s="728"/>
    </row>
    <row r="101" spans="2:14" ht="12.75">
      <c r="B101" s="728"/>
      <c r="C101" s="728"/>
      <c r="D101" s="728"/>
      <c r="E101" s="728"/>
      <c r="F101" s="728"/>
      <c r="G101" s="238"/>
      <c r="H101" s="389"/>
      <c r="I101" s="238"/>
      <c r="J101" s="728"/>
      <c r="K101" s="728"/>
      <c r="L101" s="728"/>
      <c r="M101" s="728"/>
      <c r="N101" s="728"/>
    </row>
    <row r="102" spans="2:14" ht="12.75">
      <c r="B102" s="728"/>
      <c r="C102" s="728"/>
      <c r="D102" s="728"/>
      <c r="E102" s="728"/>
      <c r="F102" s="728"/>
      <c r="G102" s="238"/>
      <c r="H102" s="389"/>
      <c r="I102" s="238"/>
      <c r="J102" s="728"/>
      <c r="K102" s="728"/>
      <c r="L102" s="728"/>
      <c r="M102" s="728"/>
      <c r="N102" s="728"/>
    </row>
    <row r="103" spans="2:14" ht="12.75">
      <c r="B103" s="728"/>
      <c r="C103" s="728"/>
      <c r="D103" s="728"/>
      <c r="E103" s="728"/>
      <c r="F103" s="728"/>
      <c r="G103" s="238"/>
      <c r="H103" s="389"/>
      <c r="I103" s="238"/>
      <c r="J103" s="728"/>
      <c r="K103" s="728"/>
      <c r="L103" s="728"/>
      <c r="M103" s="728"/>
      <c r="N103" s="728"/>
    </row>
    <row r="104" spans="2:14" ht="12.75">
      <c r="B104" s="728"/>
      <c r="C104" s="728"/>
      <c r="D104" s="728"/>
      <c r="E104" s="728"/>
      <c r="F104" s="728"/>
      <c r="G104" s="238"/>
      <c r="H104" s="389"/>
      <c r="I104" s="238"/>
      <c r="J104" s="728"/>
      <c r="K104" s="728"/>
      <c r="L104" s="728"/>
      <c r="M104" s="728"/>
      <c r="N104" s="728"/>
    </row>
    <row r="105" spans="2:14" ht="12.75">
      <c r="B105" s="728"/>
      <c r="C105" s="728"/>
      <c r="D105" s="728"/>
      <c r="E105" s="728"/>
      <c r="F105" s="728"/>
      <c r="G105" s="238"/>
      <c r="H105" s="389"/>
      <c r="I105" s="238"/>
      <c r="J105" s="728"/>
      <c r="K105" s="728"/>
      <c r="L105" s="728"/>
      <c r="M105" s="728"/>
      <c r="N105" s="728"/>
    </row>
    <row r="106" spans="2:14" ht="15">
      <c r="B106" s="638" t="s">
        <v>548</v>
      </c>
      <c r="C106" s="638"/>
      <c r="D106" s="638"/>
      <c r="E106" s="638"/>
      <c r="F106" s="638"/>
      <c r="G106" s="638"/>
      <c r="H106" s="638"/>
      <c r="I106" s="638"/>
      <c r="J106" s="638"/>
      <c r="K106" s="638"/>
      <c r="L106" s="638"/>
      <c r="M106" s="638"/>
      <c r="N106" s="638"/>
    </row>
    <row r="107" spans="2:15" ht="12.75">
      <c r="B107" s="604" t="s">
        <v>530</v>
      </c>
      <c r="C107" s="617"/>
      <c r="D107" s="617"/>
      <c r="E107" s="617"/>
      <c r="F107" s="617"/>
      <c r="G107" s="617"/>
      <c r="H107" s="617"/>
      <c r="I107" s="617"/>
      <c r="J107" s="605"/>
      <c r="K107" s="657" t="s">
        <v>531</v>
      </c>
      <c r="L107" s="657"/>
      <c r="M107" s="657" t="s">
        <v>532</v>
      </c>
      <c r="N107" s="657"/>
      <c r="O107" s="387"/>
    </row>
    <row r="108" spans="2:15" ht="12.75">
      <c r="B108" s="606"/>
      <c r="C108" s="618"/>
      <c r="D108" s="618"/>
      <c r="E108" s="618"/>
      <c r="F108" s="618"/>
      <c r="G108" s="618"/>
      <c r="H108" s="618"/>
      <c r="I108" s="618"/>
      <c r="J108" s="607"/>
      <c r="K108" s="657"/>
      <c r="L108" s="657"/>
      <c r="M108" s="657"/>
      <c r="N108" s="657"/>
      <c r="O108" s="387"/>
    </row>
    <row r="109" spans="2:15" ht="12.75">
      <c r="B109" s="698" t="s">
        <v>700</v>
      </c>
      <c r="C109" s="699"/>
      <c r="D109" s="699"/>
      <c r="E109" s="699"/>
      <c r="F109" s="699"/>
      <c r="G109" s="699"/>
      <c r="H109" s="699"/>
      <c r="I109" s="699"/>
      <c r="J109" s="700"/>
      <c r="K109" s="626">
        <v>493</v>
      </c>
      <c r="L109" s="626"/>
      <c r="M109" s="626"/>
      <c r="N109" s="626"/>
      <c r="O109" s="387"/>
    </row>
    <row r="110" spans="2:15" ht="12.75">
      <c r="B110" s="698"/>
      <c r="C110" s="699"/>
      <c r="D110" s="699"/>
      <c r="E110" s="699"/>
      <c r="F110" s="699"/>
      <c r="G110" s="699"/>
      <c r="H110" s="699"/>
      <c r="I110" s="699"/>
      <c r="J110" s="700"/>
      <c r="K110" s="626"/>
      <c r="L110" s="626"/>
      <c r="M110" s="626"/>
      <c r="N110" s="626"/>
      <c r="O110" s="387"/>
    </row>
    <row r="111" spans="2:15" ht="12.75">
      <c r="B111" s="698"/>
      <c r="C111" s="699"/>
      <c r="D111" s="699"/>
      <c r="E111" s="699"/>
      <c r="F111" s="699"/>
      <c r="G111" s="699"/>
      <c r="H111" s="699"/>
      <c r="I111" s="699"/>
      <c r="J111" s="700"/>
      <c r="K111" s="626"/>
      <c r="L111" s="626"/>
      <c r="M111" s="626"/>
      <c r="N111" s="626"/>
      <c r="O111" s="387"/>
    </row>
    <row r="112" spans="2:15" ht="12.75">
      <c r="B112" s="698"/>
      <c r="C112" s="699"/>
      <c r="D112" s="699"/>
      <c r="E112" s="699"/>
      <c r="F112" s="699"/>
      <c r="G112" s="699"/>
      <c r="H112" s="699"/>
      <c r="I112" s="699"/>
      <c r="J112" s="700"/>
      <c r="K112" s="626"/>
      <c r="L112" s="626"/>
      <c r="M112" s="626"/>
      <c r="N112" s="626"/>
      <c r="O112" s="387"/>
    </row>
    <row r="113" spans="2:15" ht="12.75">
      <c r="B113" s="698"/>
      <c r="C113" s="699"/>
      <c r="D113" s="699"/>
      <c r="E113" s="699"/>
      <c r="F113" s="699"/>
      <c r="G113" s="699"/>
      <c r="H113" s="699"/>
      <c r="I113" s="699"/>
      <c r="J113" s="700"/>
      <c r="K113" s="626"/>
      <c r="L113" s="626"/>
      <c r="M113" s="626"/>
      <c r="N113" s="626"/>
      <c r="O113" s="387"/>
    </row>
    <row r="114" spans="2:15" ht="12.75">
      <c r="B114" s="698"/>
      <c r="C114" s="699"/>
      <c r="D114" s="699"/>
      <c r="E114" s="699"/>
      <c r="F114" s="699"/>
      <c r="G114" s="699"/>
      <c r="H114" s="699"/>
      <c r="I114" s="699"/>
      <c r="J114" s="700"/>
      <c r="K114" s="626"/>
      <c r="L114" s="626"/>
      <c r="M114" s="626"/>
      <c r="N114" s="626"/>
      <c r="O114" s="387"/>
    </row>
    <row r="115" spans="2:15" ht="12.75">
      <c r="B115" s="698"/>
      <c r="C115" s="699"/>
      <c r="D115" s="699"/>
      <c r="E115" s="699"/>
      <c r="F115" s="699"/>
      <c r="G115" s="699"/>
      <c r="H115" s="699"/>
      <c r="I115" s="699"/>
      <c r="J115" s="700"/>
      <c r="K115" s="626"/>
      <c r="L115" s="626"/>
      <c r="M115" s="626"/>
      <c r="N115" s="626"/>
      <c r="O115" s="387"/>
    </row>
    <row r="116" spans="2:15" ht="12.75">
      <c r="B116" s="698"/>
      <c r="C116" s="699"/>
      <c r="D116" s="699"/>
      <c r="E116" s="699"/>
      <c r="F116" s="699"/>
      <c r="G116" s="699"/>
      <c r="H116" s="699"/>
      <c r="I116" s="699"/>
      <c r="J116" s="700"/>
      <c r="K116" s="626"/>
      <c r="L116" s="626"/>
      <c r="M116" s="626"/>
      <c r="N116" s="626"/>
      <c r="O116" s="387"/>
    </row>
    <row r="117" spans="2:15" ht="12.75">
      <c r="B117" s="698"/>
      <c r="C117" s="699"/>
      <c r="D117" s="699"/>
      <c r="E117" s="699"/>
      <c r="F117" s="699"/>
      <c r="G117" s="699"/>
      <c r="H117" s="699"/>
      <c r="I117" s="699"/>
      <c r="J117" s="700"/>
      <c r="K117" s="626"/>
      <c r="L117" s="626"/>
      <c r="M117" s="626"/>
      <c r="N117" s="626"/>
      <c r="O117" s="387"/>
    </row>
    <row r="118" spans="2:14" ht="12.75">
      <c r="B118" s="698"/>
      <c r="C118" s="699"/>
      <c r="D118" s="699"/>
      <c r="E118" s="699"/>
      <c r="F118" s="699"/>
      <c r="G118" s="699"/>
      <c r="H118" s="699"/>
      <c r="I118" s="699"/>
      <c r="J118" s="700"/>
      <c r="K118" s="626"/>
      <c r="L118" s="626"/>
      <c r="M118" s="626"/>
      <c r="N118" s="626"/>
    </row>
    <row r="119" spans="2:14" ht="12.75">
      <c r="B119" s="658" t="s">
        <v>85</v>
      </c>
      <c r="C119" s="659"/>
      <c r="D119" s="659"/>
      <c r="E119" s="659"/>
      <c r="F119" s="659"/>
      <c r="G119" s="659"/>
      <c r="H119" s="659"/>
      <c r="I119" s="659"/>
      <c r="J119" s="660"/>
      <c r="K119" s="631">
        <f>SUM(K109:L118)</f>
        <v>493</v>
      </c>
      <c r="L119" s="631"/>
      <c r="M119" s="631">
        <f>SUM(M109:N118)</f>
        <v>0</v>
      </c>
      <c r="N119" s="631"/>
    </row>
    <row r="120" spans="2:14" s="393" customFormat="1" ht="15">
      <c r="B120" s="593" t="s">
        <v>545</v>
      </c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</row>
    <row r="121" spans="2:14" ht="12.75">
      <c r="B121" s="604" t="s">
        <v>530</v>
      </c>
      <c r="C121" s="617"/>
      <c r="D121" s="617"/>
      <c r="E121" s="617"/>
      <c r="F121" s="605"/>
      <c r="G121" s="734" t="s">
        <v>550</v>
      </c>
      <c r="H121" s="735"/>
      <c r="I121" s="734" t="s">
        <v>547</v>
      </c>
      <c r="J121" s="735"/>
      <c r="K121" s="734" t="s">
        <v>314</v>
      </c>
      <c r="L121" s="735"/>
      <c r="M121" s="737" t="s">
        <v>550</v>
      </c>
      <c r="N121" s="735"/>
    </row>
    <row r="122" spans="2:14" ht="12.75">
      <c r="B122" s="606"/>
      <c r="C122" s="618"/>
      <c r="D122" s="618"/>
      <c r="E122" s="618"/>
      <c r="F122" s="607"/>
      <c r="G122" s="731" t="s">
        <v>610</v>
      </c>
      <c r="H122" s="732"/>
      <c r="I122" s="731" t="s">
        <v>650</v>
      </c>
      <c r="J122" s="732"/>
      <c r="K122" s="731" t="str">
        <f>I122</f>
        <v>31.12.2010г.</v>
      </c>
      <c r="L122" s="732"/>
      <c r="M122" s="731" t="str">
        <f>K122</f>
        <v>31.12.2010г.</v>
      </c>
      <c r="N122" s="732"/>
    </row>
    <row r="123" spans="2:14" ht="12.75">
      <c r="B123" s="608"/>
      <c r="C123" s="609"/>
      <c r="D123" s="609"/>
      <c r="E123" s="609"/>
      <c r="F123" s="610"/>
      <c r="G123" s="626"/>
      <c r="H123" s="626"/>
      <c r="I123" s="626"/>
      <c r="J123" s="626"/>
      <c r="K123" s="736"/>
      <c r="L123" s="736"/>
      <c r="M123" s="626"/>
      <c r="N123" s="626"/>
    </row>
    <row r="124" spans="2:14" ht="12.75">
      <c r="B124" s="608"/>
      <c r="C124" s="609"/>
      <c r="D124" s="609"/>
      <c r="E124" s="609"/>
      <c r="F124" s="610"/>
      <c r="G124" s="626"/>
      <c r="H124" s="626"/>
      <c r="I124" s="626"/>
      <c r="J124" s="626"/>
      <c r="K124" s="626"/>
      <c r="L124" s="626"/>
      <c r="M124" s="626"/>
      <c r="N124" s="626"/>
    </row>
    <row r="125" spans="2:14" ht="12.75">
      <c r="B125" s="608"/>
      <c r="C125" s="609"/>
      <c r="D125" s="609"/>
      <c r="E125" s="609"/>
      <c r="F125" s="610"/>
      <c r="G125" s="626"/>
      <c r="H125" s="626"/>
      <c r="I125" s="626"/>
      <c r="J125" s="626"/>
      <c r="K125" s="626"/>
      <c r="L125" s="626"/>
      <c r="M125" s="626"/>
      <c r="N125" s="626"/>
    </row>
    <row r="126" spans="2:14" ht="12.75">
      <c r="B126" s="608"/>
      <c r="C126" s="609"/>
      <c r="D126" s="609"/>
      <c r="E126" s="609"/>
      <c r="F126" s="610"/>
      <c r="G126" s="626"/>
      <c r="H126" s="626"/>
      <c r="I126" s="626"/>
      <c r="J126" s="626"/>
      <c r="K126" s="626"/>
      <c r="L126" s="626"/>
      <c r="M126" s="626"/>
      <c r="N126" s="626"/>
    </row>
    <row r="127" spans="2:14" ht="12.75">
      <c r="B127" s="608"/>
      <c r="C127" s="609"/>
      <c r="D127" s="609"/>
      <c r="E127" s="609"/>
      <c r="F127" s="610"/>
      <c r="G127" s="626"/>
      <c r="H127" s="626"/>
      <c r="I127" s="626"/>
      <c r="J127" s="626"/>
      <c r="K127" s="626"/>
      <c r="L127" s="626"/>
      <c r="M127" s="626"/>
      <c r="N127" s="626"/>
    </row>
    <row r="128" spans="2:14" ht="12.75">
      <c r="B128" s="608"/>
      <c r="C128" s="609"/>
      <c r="D128" s="609"/>
      <c r="E128" s="609"/>
      <c r="F128" s="610"/>
      <c r="G128" s="626"/>
      <c r="H128" s="626"/>
      <c r="I128" s="626"/>
      <c r="J128" s="626"/>
      <c r="K128" s="626"/>
      <c r="L128" s="626"/>
      <c r="M128" s="626"/>
      <c r="N128" s="626"/>
    </row>
    <row r="129" spans="2:14" ht="12.75">
      <c r="B129" s="608"/>
      <c r="C129" s="609"/>
      <c r="D129" s="609"/>
      <c r="E129" s="609"/>
      <c r="F129" s="610"/>
      <c r="G129" s="626"/>
      <c r="H129" s="626"/>
      <c r="I129" s="626"/>
      <c r="J129" s="626"/>
      <c r="K129" s="626"/>
      <c r="L129" s="626"/>
      <c r="M129" s="626"/>
      <c r="N129" s="626"/>
    </row>
    <row r="130" spans="2:14" ht="12.75">
      <c r="B130" s="608"/>
      <c r="C130" s="609"/>
      <c r="D130" s="609"/>
      <c r="E130" s="609"/>
      <c r="F130" s="610"/>
      <c r="G130" s="626"/>
      <c r="H130" s="626"/>
      <c r="I130" s="626"/>
      <c r="J130" s="626"/>
      <c r="K130" s="626"/>
      <c r="L130" s="626"/>
      <c r="M130" s="626"/>
      <c r="N130" s="626"/>
    </row>
    <row r="131" spans="2:14" ht="12.75">
      <c r="B131" s="608"/>
      <c r="C131" s="609"/>
      <c r="D131" s="609"/>
      <c r="E131" s="609"/>
      <c r="F131" s="610"/>
      <c r="G131" s="626"/>
      <c r="H131" s="626"/>
      <c r="I131" s="626"/>
      <c r="J131" s="626"/>
      <c r="K131" s="626"/>
      <c r="L131" s="626"/>
      <c r="M131" s="626"/>
      <c r="N131" s="626"/>
    </row>
    <row r="132" spans="2:14" ht="12.75">
      <c r="B132" s="608"/>
      <c r="C132" s="609"/>
      <c r="D132" s="609"/>
      <c r="E132" s="609"/>
      <c r="F132" s="610"/>
      <c r="G132" s="626"/>
      <c r="H132" s="626"/>
      <c r="I132" s="626"/>
      <c r="J132" s="626"/>
      <c r="K132" s="626"/>
      <c r="L132" s="626"/>
      <c r="M132" s="626"/>
      <c r="N132" s="626"/>
    </row>
    <row r="133" spans="2:14" ht="12.75">
      <c r="B133" s="594" t="s">
        <v>85</v>
      </c>
      <c r="C133" s="595"/>
      <c r="D133" s="595"/>
      <c r="E133" s="595"/>
      <c r="F133" s="596"/>
      <c r="G133" s="631">
        <f>SUM(G123:H132)</f>
        <v>0</v>
      </c>
      <c r="H133" s="631"/>
      <c r="I133" s="631">
        <f>SUM(I123:J132)</f>
        <v>0</v>
      </c>
      <c r="J133" s="631"/>
      <c r="K133" s="631">
        <f>SUM(K123:L132)</f>
        <v>0</v>
      </c>
      <c r="L133" s="631"/>
      <c r="M133" s="631">
        <f>SUM(M123:N132)</f>
        <v>0</v>
      </c>
      <c r="N133" s="631"/>
    </row>
    <row r="135" spans="2:14" ht="15">
      <c r="B135" s="636" t="s">
        <v>538</v>
      </c>
      <c r="C135" s="636"/>
      <c r="D135" s="636"/>
      <c r="E135" s="636"/>
      <c r="F135" s="636"/>
      <c r="G135" s="636"/>
      <c r="H135" s="636"/>
      <c r="I135" s="636"/>
      <c r="J135" s="636"/>
      <c r="K135" s="636"/>
      <c r="L135" s="636"/>
      <c r="M135" s="380"/>
      <c r="N135" s="380"/>
    </row>
    <row r="136" spans="1:12" ht="12.75">
      <c r="A136" s="197" t="s">
        <v>611</v>
      </c>
      <c r="B136" s="641" t="s">
        <v>660</v>
      </c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</row>
    <row r="137" spans="2:18" ht="12.75">
      <c r="B137" s="642"/>
      <c r="C137" s="643"/>
      <c r="D137" s="643"/>
      <c r="E137" s="643"/>
      <c r="F137" s="644"/>
      <c r="G137" s="640" t="s">
        <v>241</v>
      </c>
      <c r="H137" s="640"/>
      <c r="I137" s="640" t="s">
        <v>242</v>
      </c>
      <c r="J137" s="640"/>
      <c r="K137" s="640" t="s">
        <v>85</v>
      </c>
      <c r="L137" s="640"/>
      <c r="R137" s="197" t="s">
        <v>30</v>
      </c>
    </row>
    <row r="138" spans="2:12" ht="12.75">
      <c r="B138" s="651" t="s">
        <v>243</v>
      </c>
      <c r="C138" s="652"/>
      <c r="D138" s="652"/>
      <c r="E138" s="652"/>
      <c r="F138" s="653"/>
      <c r="G138" s="645"/>
      <c r="H138" s="645"/>
      <c r="I138" s="645"/>
      <c r="J138" s="645"/>
      <c r="K138" s="637">
        <f>SUM(G138:I138)</f>
        <v>0</v>
      </c>
      <c r="L138" s="637"/>
    </row>
    <row r="139" spans="2:12" ht="12.75">
      <c r="B139" s="651" t="s">
        <v>244</v>
      </c>
      <c r="C139" s="652"/>
      <c r="D139" s="652"/>
      <c r="E139" s="652"/>
      <c r="F139" s="653"/>
      <c r="G139" s="645"/>
      <c r="H139" s="645"/>
      <c r="I139" s="645"/>
      <c r="J139" s="645"/>
      <c r="K139" s="637">
        <f>SUM(G139:I139)</f>
        <v>0</v>
      </c>
      <c r="L139" s="637"/>
    </row>
    <row r="140" spans="2:12" ht="12.75">
      <c r="B140" s="654" t="s">
        <v>245</v>
      </c>
      <c r="C140" s="655"/>
      <c r="D140" s="655"/>
      <c r="E140" s="655"/>
      <c r="F140" s="656"/>
      <c r="G140" s="646">
        <f>SUM(F138:F139)</f>
        <v>0</v>
      </c>
      <c r="H140" s="646"/>
      <c r="I140" s="646">
        <f>SUM(H138:H139)</f>
        <v>0</v>
      </c>
      <c r="J140" s="646"/>
      <c r="K140" s="646">
        <f>SUM(J138:J139)</f>
        <v>0</v>
      </c>
      <c r="L140" s="646"/>
    </row>
    <row r="141" spans="2:14" ht="12.75">
      <c r="B141" s="641" t="s">
        <v>614</v>
      </c>
      <c r="C141" s="641"/>
      <c r="D141" s="641"/>
      <c r="E141" s="641"/>
      <c r="F141" s="641"/>
      <c r="G141" s="641"/>
      <c r="H141" s="641"/>
      <c r="I141" s="641"/>
      <c r="J141" s="641"/>
      <c r="K141" s="641"/>
      <c r="L141" s="641"/>
      <c r="N141" s="197" t="s">
        <v>30</v>
      </c>
    </row>
    <row r="142" spans="2:12" ht="12.75">
      <c r="B142" s="647"/>
      <c r="C142" s="647"/>
      <c r="D142" s="647"/>
      <c r="E142" s="647"/>
      <c r="F142" s="647"/>
      <c r="G142" s="640" t="s">
        <v>241</v>
      </c>
      <c r="H142" s="640"/>
      <c r="I142" s="640" t="s">
        <v>242</v>
      </c>
      <c r="J142" s="640"/>
      <c r="K142" s="640" t="s">
        <v>85</v>
      </c>
      <c r="L142" s="640"/>
    </row>
    <row r="143" spans="2:12" ht="12.75">
      <c r="B143" s="648" t="s">
        <v>243</v>
      </c>
      <c r="C143" s="648"/>
      <c r="D143" s="648"/>
      <c r="E143" s="648"/>
      <c r="F143" s="648"/>
      <c r="G143" s="645"/>
      <c r="H143" s="645"/>
      <c r="I143" s="645"/>
      <c r="J143" s="645"/>
      <c r="K143" s="637">
        <f>SUM(F143:I143)</f>
        <v>0</v>
      </c>
      <c r="L143" s="637"/>
    </row>
    <row r="144" spans="2:12" ht="12.75">
      <c r="B144" s="648" t="s">
        <v>244</v>
      </c>
      <c r="C144" s="648"/>
      <c r="D144" s="648"/>
      <c r="E144" s="648"/>
      <c r="F144" s="648"/>
      <c r="G144" s="645"/>
      <c r="H144" s="645"/>
      <c r="I144" s="645"/>
      <c r="J144" s="645"/>
      <c r="K144" s="637">
        <f>SUM(F144:I144)</f>
        <v>0</v>
      </c>
      <c r="L144" s="637"/>
    </row>
    <row r="145" spans="2:12" ht="12.75">
      <c r="B145" s="649" t="s">
        <v>245</v>
      </c>
      <c r="C145" s="649"/>
      <c r="D145" s="649"/>
      <c r="E145" s="649"/>
      <c r="F145" s="649"/>
      <c r="G145" s="646">
        <f>SUM(G143:G144)</f>
        <v>0</v>
      </c>
      <c r="H145" s="646"/>
      <c r="I145" s="646">
        <f>SUM(I143:I144)</f>
        <v>0</v>
      </c>
      <c r="J145" s="646"/>
      <c r="K145" s="646">
        <f>SUM(K143:K144)</f>
        <v>0</v>
      </c>
      <c r="L145" s="646"/>
    </row>
    <row r="146" spans="2:12" ht="15">
      <c r="B146" s="650" t="s">
        <v>539</v>
      </c>
      <c r="C146" s="650"/>
      <c r="D146" s="650"/>
      <c r="E146" s="650"/>
      <c r="F146" s="650"/>
      <c r="G146" s="650"/>
      <c r="H146" s="650"/>
      <c r="I146" s="650"/>
      <c r="J146" s="650"/>
      <c r="K146" s="650"/>
      <c r="L146" s="650"/>
    </row>
    <row r="147" spans="2:12" ht="12.75">
      <c r="B147" s="641" t="s">
        <v>660</v>
      </c>
      <c r="C147" s="641"/>
      <c r="D147" s="641"/>
      <c r="E147" s="641"/>
      <c r="F147" s="641"/>
      <c r="G147" s="641"/>
      <c r="H147" s="641"/>
      <c r="I147" s="641"/>
      <c r="J147" s="641"/>
      <c r="K147" s="641"/>
      <c r="L147" s="641"/>
    </row>
    <row r="148" spans="2:12" ht="12.75">
      <c r="B148" s="648" t="s">
        <v>243</v>
      </c>
      <c r="C148" s="648"/>
      <c r="D148" s="648"/>
      <c r="E148" s="648"/>
      <c r="F148" s="648"/>
      <c r="G148" s="645"/>
      <c r="H148" s="645"/>
      <c r="I148" s="645"/>
      <c r="J148" s="645"/>
      <c r="K148" s="637">
        <f>SUM(F148:I148)</f>
        <v>0</v>
      </c>
      <c r="L148" s="637"/>
    </row>
    <row r="149" spans="2:12" ht="12.75">
      <c r="B149" s="649" t="s">
        <v>85</v>
      </c>
      <c r="C149" s="649"/>
      <c r="D149" s="649"/>
      <c r="E149" s="649"/>
      <c r="F149" s="649"/>
      <c r="G149" s="646">
        <f>SUM(G148)</f>
        <v>0</v>
      </c>
      <c r="H149" s="646"/>
      <c r="I149" s="646">
        <f>SUM(I148)</f>
        <v>0</v>
      </c>
      <c r="J149" s="646"/>
      <c r="K149" s="646">
        <f>SUM(K148)</f>
        <v>0</v>
      </c>
      <c r="L149" s="646"/>
    </row>
    <row r="151" spans="2:14" ht="15">
      <c r="B151" s="636" t="s">
        <v>540</v>
      </c>
      <c r="C151" s="636"/>
      <c r="D151" s="636"/>
      <c r="E151" s="636"/>
      <c r="F151" s="636"/>
      <c r="G151" s="636"/>
      <c r="H151" s="636"/>
      <c r="I151" s="636"/>
      <c r="J151" s="636"/>
      <c r="K151" s="636"/>
      <c r="L151" s="636"/>
      <c r="M151" s="380"/>
      <c r="N151" s="380"/>
    </row>
    <row r="152" spans="2:12" ht="12.75">
      <c r="B152" s="641" t="s">
        <v>660</v>
      </c>
      <c r="C152" s="641"/>
      <c r="D152" s="641"/>
      <c r="E152" s="641"/>
      <c r="F152" s="641"/>
      <c r="G152" s="641"/>
      <c r="H152" s="641"/>
      <c r="I152" s="641"/>
      <c r="J152" s="641"/>
      <c r="K152" s="641"/>
      <c r="L152" s="641"/>
    </row>
    <row r="153" spans="2:16" ht="12.75">
      <c r="B153" s="642"/>
      <c r="C153" s="643"/>
      <c r="D153" s="643"/>
      <c r="E153" s="643"/>
      <c r="F153" s="644"/>
      <c r="G153" s="640" t="s">
        <v>241</v>
      </c>
      <c r="H153" s="640"/>
      <c r="I153" s="640" t="s">
        <v>242</v>
      </c>
      <c r="J153" s="640"/>
      <c r="K153" s="640" t="s">
        <v>85</v>
      </c>
      <c r="L153" s="640"/>
      <c r="P153" s="197" t="s">
        <v>30</v>
      </c>
    </row>
    <row r="154" spans="2:12" ht="12.75">
      <c r="B154" s="651" t="s">
        <v>519</v>
      </c>
      <c r="C154" s="652"/>
      <c r="D154" s="652"/>
      <c r="E154" s="652"/>
      <c r="F154" s="653"/>
      <c r="G154" s="645"/>
      <c r="H154" s="645"/>
      <c r="I154" s="645"/>
      <c r="J154" s="645"/>
      <c r="K154" s="637">
        <f>SUM(G154:I154)</f>
        <v>0</v>
      </c>
      <c r="L154" s="637"/>
    </row>
    <row r="155" spans="2:12" ht="12.75">
      <c r="B155" s="651" t="s">
        <v>244</v>
      </c>
      <c r="C155" s="652"/>
      <c r="D155" s="652"/>
      <c r="E155" s="652"/>
      <c r="F155" s="653"/>
      <c r="G155" s="645"/>
      <c r="H155" s="645"/>
      <c r="I155" s="645"/>
      <c r="J155" s="645"/>
      <c r="K155" s="637">
        <f>SUM(G155:I155)</f>
        <v>0</v>
      </c>
      <c r="L155" s="637"/>
    </row>
    <row r="156" spans="2:12" ht="12.75">
      <c r="B156" s="654" t="s">
        <v>245</v>
      </c>
      <c r="C156" s="655"/>
      <c r="D156" s="655"/>
      <c r="E156" s="655"/>
      <c r="F156" s="656"/>
      <c r="G156" s="646">
        <f>SUM(F154:F155)</f>
        <v>0</v>
      </c>
      <c r="H156" s="646"/>
      <c r="I156" s="646">
        <f>SUM(H154:H155)</f>
        <v>0</v>
      </c>
      <c r="J156" s="646"/>
      <c r="K156" s="646">
        <f>SUM(J154:J155)</f>
        <v>0</v>
      </c>
      <c r="L156" s="646"/>
    </row>
    <row r="157" spans="2:12" ht="12.75">
      <c r="B157" s="641" t="str">
        <f>CONCATENATE("Бъдещи минимални лизингови плащания към 31.12.",НАЧАЛО!AC1-1," г.")</f>
        <v>Бъдещи минимални лизингови плащания към 31.12.2015 г.</v>
      </c>
      <c r="C157" s="641"/>
      <c r="D157" s="641"/>
      <c r="E157" s="641"/>
      <c r="F157" s="641"/>
      <c r="G157" s="641"/>
      <c r="H157" s="641"/>
      <c r="I157" s="641"/>
      <c r="J157" s="641"/>
      <c r="K157" s="641"/>
      <c r="L157" s="641"/>
    </row>
    <row r="158" spans="2:12" ht="12.75">
      <c r="B158" s="647"/>
      <c r="C158" s="647"/>
      <c r="D158" s="647"/>
      <c r="E158" s="647"/>
      <c r="F158" s="647"/>
      <c r="G158" s="640" t="s">
        <v>241</v>
      </c>
      <c r="H158" s="640"/>
      <c r="I158" s="640" t="s">
        <v>242</v>
      </c>
      <c r="J158" s="640"/>
      <c r="K158" s="640" t="s">
        <v>85</v>
      </c>
      <c r="L158" s="640"/>
    </row>
    <row r="159" spans="2:12" ht="12.75">
      <c r="B159" s="648" t="s">
        <v>519</v>
      </c>
      <c r="C159" s="648"/>
      <c r="D159" s="648"/>
      <c r="E159" s="648"/>
      <c r="F159" s="648"/>
      <c r="G159" s="645"/>
      <c r="H159" s="645"/>
      <c r="I159" s="645"/>
      <c r="J159" s="645"/>
      <c r="K159" s="637">
        <f>SUM(F159:I159)</f>
        <v>0</v>
      </c>
      <c r="L159" s="637"/>
    </row>
    <row r="160" spans="2:12" ht="12.75">
      <c r="B160" s="648" t="s">
        <v>244</v>
      </c>
      <c r="C160" s="648"/>
      <c r="D160" s="648"/>
      <c r="E160" s="648"/>
      <c r="F160" s="648"/>
      <c r="G160" s="645"/>
      <c r="H160" s="645"/>
      <c r="I160" s="645"/>
      <c r="J160" s="645"/>
      <c r="K160" s="637">
        <f>SUM(F160:I160)</f>
        <v>0</v>
      </c>
      <c r="L160" s="637"/>
    </row>
    <row r="161" spans="2:12" ht="12.75">
      <c r="B161" s="649" t="s">
        <v>245</v>
      </c>
      <c r="C161" s="649"/>
      <c r="D161" s="649"/>
      <c r="E161" s="649"/>
      <c r="F161" s="649"/>
      <c r="G161" s="646">
        <f>SUM(G159:G160)</f>
        <v>0</v>
      </c>
      <c r="H161" s="646"/>
      <c r="I161" s="646">
        <f>SUM(I159:I160)</f>
        <v>0</v>
      </c>
      <c r="J161" s="646"/>
      <c r="K161" s="646">
        <f>SUM(K159:K160)</f>
        <v>0</v>
      </c>
      <c r="L161" s="646"/>
    </row>
    <row r="162" spans="2:12" ht="15">
      <c r="B162" s="650" t="s">
        <v>541</v>
      </c>
      <c r="C162" s="650"/>
      <c r="D162" s="650"/>
      <c r="E162" s="650"/>
      <c r="F162" s="650"/>
      <c r="G162" s="650"/>
      <c r="H162" s="650"/>
      <c r="I162" s="650"/>
      <c r="J162" s="650"/>
      <c r="K162" s="650"/>
      <c r="L162" s="650"/>
    </row>
    <row r="163" spans="2:12" ht="12.75">
      <c r="B163" s="641" t="str">
        <f>B152</f>
        <v>Бъдещи минимални лизингови постъпления към  31.12.2010г.</v>
      </c>
      <c r="C163" s="641"/>
      <c r="D163" s="641"/>
      <c r="E163" s="641"/>
      <c r="F163" s="641"/>
      <c r="G163" s="641"/>
      <c r="H163" s="641"/>
      <c r="I163" s="641"/>
      <c r="J163" s="641"/>
      <c r="K163" s="641"/>
      <c r="L163" s="641"/>
    </row>
    <row r="164" spans="2:12" ht="12.75">
      <c r="B164" s="648" t="s">
        <v>519</v>
      </c>
      <c r="C164" s="648"/>
      <c r="D164" s="648"/>
      <c r="E164" s="648"/>
      <c r="F164" s="648"/>
      <c r="G164" s="645"/>
      <c r="H164" s="645"/>
      <c r="I164" s="645"/>
      <c r="J164" s="645"/>
      <c r="K164" s="637">
        <f>SUM(F164:I164)</f>
        <v>0</v>
      </c>
      <c r="L164" s="637"/>
    </row>
    <row r="165" spans="2:12" ht="12.75">
      <c r="B165" s="649" t="s">
        <v>85</v>
      </c>
      <c r="C165" s="649"/>
      <c r="D165" s="649"/>
      <c r="E165" s="649"/>
      <c r="F165" s="649"/>
      <c r="G165" s="646">
        <f>SUM(G164)</f>
        <v>0</v>
      </c>
      <c r="H165" s="646"/>
      <c r="I165" s="646">
        <f>SUM(I164)</f>
        <v>0</v>
      </c>
      <c r="J165" s="646"/>
      <c r="K165" s="646">
        <f>SUM(K164)</f>
        <v>0</v>
      </c>
      <c r="L165" s="646"/>
    </row>
  </sheetData>
  <sheetProtection/>
  <mergeCells count="552">
    <mergeCell ref="M51:N51"/>
    <mergeCell ref="B39:N39"/>
    <mergeCell ref="B41:F41"/>
    <mergeCell ref="G41:H41"/>
    <mergeCell ref="I41:J41"/>
    <mergeCell ref="K41:L41"/>
    <mergeCell ref="M41:N41"/>
    <mergeCell ref="B51:F51"/>
    <mergeCell ref="G51:H51"/>
    <mergeCell ref="I51:J51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9:L49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7:L47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5:L45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43:L43"/>
    <mergeCell ref="M40:N40"/>
    <mergeCell ref="B42:F42"/>
    <mergeCell ref="G42:H42"/>
    <mergeCell ref="I42:J42"/>
    <mergeCell ref="K42:L42"/>
    <mergeCell ref="M42:N42"/>
    <mergeCell ref="B40:F40"/>
    <mergeCell ref="G40:H40"/>
    <mergeCell ref="I40:J40"/>
    <mergeCell ref="K40:L40"/>
    <mergeCell ref="M37:N37"/>
    <mergeCell ref="B38:F38"/>
    <mergeCell ref="G38:H38"/>
    <mergeCell ref="I38:J38"/>
    <mergeCell ref="K38:L38"/>
    <mergeCell ref="M38:N38"/>
    <mergeCell ref="B37:F37"/>
    <mergeCell ref="G37:H37"/>
    <mergeCell ref="I37:J37"/>
    <mergeCell ref="K37:L37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M34:N34"/>
    <mergeCell ref="B33:F33"/>
    <mergeCell ref="G33:H33"/>
    <mergeCell ref="I33:J33"/>
    <mergeCell ref="K33:L33"/>
    <mergeCell ref="B34:F34"/>
    <mergeCell ref="G34:H34"/>
    <mergeCell ref="I34:J34"/>
    <mergeCell ref="K34:L34"/>
    <mergeCell ref="M33:N33"/>
    <mergeCell ref="M29:N29"/>
    <mergeCell ref="M32:N32"/>
    <mergeCell ref="I29:J29"/>
    <mergeCell ref="G29:H29"/>
    <mergeCell ref="K31:L31"/>
    <mergeCell ref="K29:L29"/>
    <mergeCell ref="G32:H32"/>
    <mergeCell ref="I32:J32"/>
    <mergeCell ref="K32:L32"/>
    <mergeCell ref="B29:F29"/>
    <mergeCell ref="M28:N28"/>
    <mergeCell ref="M31:N31"/>
    <mergeCell ref="B30:F30"/>
    <mergeCell ref="G30:H30"/>
    <mergeCell ref="I30:J30"/>
    <mergeCell ref="K30:L30"/>
    <mergeCell ref="M30:N30"/>
    <mergeCell ref="K28:L28"/>
    <mergeCell ref="G28:H28"/>
    <mergeCell ref="K149:L149"/>
    <mergeCell ref="I148:J148"/>
    <mergeCell ref="K148:L148"/>
    <mergeCell ref="K51:L51"/>
    <mergeCell ref="B28:F28"/>
    <mergeCell ref="B31:F31"/>
    <mergeCell ref="G31:H31"/>
    <mergeCell ref="I31:J31"/>
    <mergeCell ref="B32:F32"/>
    <mergeCell ref="I28:J28"/>
    <mergeCell ref="B149:F149"/>
    <mergeCell ref="G149:H149"/>
    <mergeCell ref="B145:F145"/>
    <mergeCell ref="G145:H145"/>
    <mergeCell ref="B144:F144"/>
    <mergeCell ref="G144:H144"/>
    <mergeCell ref="B146:L146"/>
    <mergeCell ref="B147:L147"/>
    <mergeCell ref="B148:F148"/>
    <mergeCell ref="G148:H148"/>
    <mergeCell ref="I139:J139"/>
    <mergeCell ref="K140:L140"/>
    <mergeCell ref="I140:J140"/>
    <mergeCell ref="B143:F143"/>
    <mergeCell ref="B139:F139"/>
    <mergeCell ref="G139:H139"/>
    <mergeCell ref="G143:H143"/>
    <mergeCell ref="M126:N126"/>
    <mergeCell ref="I124:J124"/>
    <mergeCell ref="K125:L125"/>
    <mergeCell ref="M129:N129"/>
    <mergeCell ref="I128:J128"/>
    <mergeCell ref="B138:F138"/>
    <mergeCell ref="G138:H138"/>
    <mergeCell ref="I138:J138"/>
    <mergeCell ref="M127:N127"/>
    <mergeCell ref="M128:N128"/>
    <mergeCell ref="I159:J159"/>
    <mergeCell ref="I164:J164"/>
    <mergeCell ref="I129:J129"/>
    <mergeCell ref="B115:J115"/>
    <mergeCell ref="K115:L115"/>
    <mergeCell ref="M115:N115"/>
    <mergeCell ref="B117:J117"/>
    <mergeCell ref="M116:N116"/>
    <mergeCell ref="M118:N118"/>
    <mergeCell ref="M123:N123"/>
    <mergeCell ref="K119:L119"/>
    <mergeCell ref="M119:N119"/>
    <mergeCell ref="I165:J165"/>
    <mergeCell ref="K165:L165"/>
    <mergeCell ref="I137:J137"/>
    <mergeCell ref="K137:L137"/>
    <mergeCell ref="K153:L153"/>
    <mergeCell ref="K138:L138"/>
    <mergeCell ref="I143:J143"/>
    <mergeCell ref="K143:L143"/>
    <mergeCell ref="K126:L126"/>
    <mergeCell ref="K117:L117"/>
    <mergeCell ref="M124:N124"/>
    <mergeCell ref="K124:L124"/>
    <mergeCell ref="K121:L121"/>
    <mergeCell ref="B120:N120"/>
    <mergeCell ref="G124:H124"/>
    <mergeCell ref="B124:F124"/>
    <mergeCell ref="G123:H123"/>
    <mergeCell ref="M121:N121"/>
    <mergeCell ref="M117:N117"/>
    <mergeCell ref="K161:L161"/>
    <mergeCell ref="K160:L160"/>
    <mergeCell ref="B157:L157"/>
    <mergeCell ref="B158:F158"/>
    <mergeCell ref="K159:L159"/>
    <mergeCell ref="G161:H161"/>
    <mergeCell ref="B160:F160"/>
    <mergeCell ref="B159:F159"/>
    <mergeCell ref="M125:N125"/>
    <mergeCell ref="K158:L158"/>
    <mergeCell ref="I158:J158"/>
    <mergeCell ref="G158:H158"/>
    <mergeCell ref="K164:L164"/>
    <mergeCell ref="I161:J161"/>
    <mergeCell ref="I160:J160"/>
    <mergeCell ref="B162:L162"/>
    <mergeCell ref="B163:L163"/>
    <mergeCell ref="G160:H160"/>
    <mergeCell ref="B161:F161"/>
    <mergeCell ref="B155:F155"/>
    <mergeCell ref="B165:F165"/>
    <mergeCell ref="G165:H165"/>
    <mergeCell ref="G164:H164"/>
    <mergeCell ref="B164:F164"/>
    <mergeCell ref="G159:H159"/>
    <mergeCell ref="B156:F156"/>
    <mergeCell ref="G156:H156"/>
    <mergeCell ref="G155:H155"/>
    <mergeCell ref="I156:J156"/>
    <mergeCell ref="K156:L156"/>
    <mergeCell ref="K142:L142"/>
    <mergeCell ref="I145:J145"/>
    <mergeCell ref="K145:L145"/>
    <mergeCell ref="K144:L144"/>
    <mergeCell ref="I144:J144"/>
    <mergeCell ref="I155:J155"/>
    <mergeCell ref="K155:L155"/>
    <mergeCell ref="I149:J149"/>
    <mergeCell ref="K118:L118"/>
    <mergeCell ref="I122:J122"/>
    <mergeCell ref="B152:L152"/>
    <mergeCell ref="K123:L123"/>
    <mergeCell ref="B136:L136"/>
    <mergeCell ref="G137:H137"/>
    <mergeCell ref="B151:L151"/>
    <mergeCell ref="G142:H142"/>
    <mergeCell ref="I142:J142"/>
    <mergeCell ref="I123:J123"/>
    <mergeCell ref="B128:F128"/>
    <mergeCell ref="G128:H128"/>
    <mergeCell ref="B141:L141"/>
    <mergeCell ref="B154:F154"/>
    <mergeCell ref="G154:H154"/>
    <mergeCell ref="I154:J154"/>
    <mergeCell ref="K154:L154"/>
    <mergeCell ref="B129:F129"/>
    <mergeCell ref="G129:H129"/>
    <mergeCell ref="K139:L139"/>
    <mergeCell ref="G130:H130"/>
    <mergeCell ref="B131:F131"/>
    <mergeCell ref="G131:H131"/>
    <mergeCell ref="B153:F153"/>
    <mergeCell ref="G153:H153"/>
    <mergeCell ref="I153:J153"/>
    <mergeCell ref="B137:F137"/>
    <mergeCell ref="B135:L135"/>
    <mergeCell ref="G140:H140"/>
    <mergeCell ref="B140:F140"/>
    <mergeCell ref="K116:L116"/>
    <mergeCell ref="K122:L122"/>
    <mergeCell ref="M122:N122"/>
    <mergeCell ref="B118:J118"/>
    <mergeCell ref="G122:H122"/>
    <mergeCell ref="B142:F142"/>
    <mergeCell ref="B127:F127"/>
    <mergeCell ref="G127:H127"/>
    <mergeCell ref="I127:J127"/>
    <mergeCell ref="B130:F130"/>
    <mergeCell ref="B125:F125"/>
    <mergeCell ref="B116:J116"/>
    <mergeCell ref="B114:J114"/>
    <mergeCell ref="G121:H121"/>
    <mergeCell ref="I121:J121"/>
    <mergeCell ref="B121:F122"/>
    <mergeCell ref="G125:H125"/>
    <mergeCell ref="I125:J125"/>
    <mergeCell ref="B123:F123"/>
    <mergeCell ref="B119:J119"/>
    <mergeCell ref="B113:J113"/>
    <mergeCell ref="K113:L113"/>
    <mergeCell ref="M113:N113"/>
    <mergeCell ref="B111:J111"/>
    <mergeCell ref="K111:L111"/>
    <mergeCell ref="M111:N111"/>
    <mergeCell ref="B112:J112"/>
    <mergeCell ref="M112:N112"/>
    <mergeCell ref="M66:N67"/>
    <mergeCell ref="B78:J78"/>
    <mergeCell ref="M70:N70"/>
    <mergeCell ref="K71:L71"/>
    <mergeCell ref="K68:L68"/>
    <mergeCell ref="B110:J110"/>
    <mergeCell ref="K110:L110"/>
    <mergeCell ref="M110:N110"/>
    <mergeCell ref="J105:N105"/>
    <mergeCell ref="B107:J108"/>
    <mergeCell ref="K107:L108"/>
    <mergeCell ref="M107:N108"/>
    <mergeCell ref="B106:N106"/>
    <mergeCell ref="B66:J67"/>
    <mergeCell ref="K66:L67"/>
    <mergeCell ref="B70:J70"/>
    <mergeCell ref="M81:N81"/>
    <mergeCell ref="M68:N68"/>
    <mergeCell ref="G80:H80"/>
    <mergeCell ref="K78:L78"/>
    <mergeCell ref="K69:L69"/>
    <mergeCell ref="M71:N71"/>
    <mergeCell ref="K70:L70"/>
    <mergeCell ref="M73:N73"/>
    <mergeCell ref="M80:N80"/>
    <mergeCell ref="M78:N78"/>
    <mergeCell ref="B71:J71"/>
    <mergeCell ref="B73:J73"/>
    <mergeCell ref="K74:L74"/>
    <mergeCell ref="K73:L73"/>
    <mergeCell ref="M77:N77"/>
    <mergeCell ref="K80:L80"/>
    <mergeCell ref="B74:J74"/>
    <mergeCell ref="B75:J75"/>
    <mergeCell ref="K81:L81"/>
    <mergeCell ref="I81:J81"/>
    <mergeCell ref="B68:J68"/>
    <mergeCell ref="B69:J69"/>
    <mergeCell ref="B72:J72"/>
    <mergeCell ref="B77:J77"/>
    <mergeCell ref="K75:L75"/>
    <mergeCell ref="K72:L72"/>
    <mergeCell ref="K76:L76"/>
    <mergeCell ref="B80:F81"/>
    <mergeCell ref="B64:F64"/>
    <mergeCell ref="B79:N79"/>
    <mergeCell ref="B65:N65"/>
    <mergeCell ref="M76:N76"/>
    <mergeCell ref="M74:N74"/>
    <mergeCell ref="M72:N72"/>
    <mergeCell ref="M75:N75"/>
    <mergeCell ref="M69:N69"/>
    <mergeCell ref="B76:J76"/>
    <mergeCell ref="K77:L77"/>
    <mergeCell ref="B57:F57"/>
    <mergeCell ref="J57:N57"/>
    <mergeCell ref="B63:F63"/>
    <mergeCell ref="J63:N63"/>
    <mergeCell ref="B61:F61"/>
    <mergeCell ref="J61:N61"/>
    <mergeCell ref="J58:N58"/>
    <mergeCell ref="B59:F59"/>
    <mergeCell ref="J60:N60"/>
    <mergeCell ref="B58:F58"/>
    <mergeCell ref="B62:F62"/>
    <mergeCell ref="J62:N62"/>
    <mergeCell ref="J59:N59"/>
    <mergeCell ref="B60:F60"/>
    <mergeCell ref="G83:H83"/>
    <mergeCell ref="K83:L83"/>
    <mergeCell ref="K82:L82"/>
    <mergeCell ref="I82:J82"/>
    <mergeCell ref="G81:H81"/>
    <mergeCell ref="J64:N64"/>
    <mergeCell ref="B85:F85"/>
    <mergeCell ref="G84:H84"/>
    <mergeCell ref="I80:J80"/>
    <mergeCell ref="B82:F82"/>
    <mergeCell ref="B83:F83"/>
    <mergeCell ref="I83:J83"/>
    <mergeCell ref="B84:F84"/>
    <mergeCell ref="G85:H85"/>
    <mergeCell ref="G82:H82"/>
    <mergeCell ref="I84:J84"/>
    <mergeCell ref="B97:F97"/>
    <mergeCell ref="G92:H92"/>
    <mergeCell ref="I85:J85"/>
    <mergeCell ref="B91:F91"/>
    <mergeCell ref="B87:F87"/>
    <mergeCell ref="G91:H91"/>
    <mergeCell ref="B90:F90"/>
    <mergeCell ref="B88:F88"/>
    <mergeCell ref="B89:F89"/>
    <mergeCell ref="G89:H89"/>
    <mergeCell ref="B96:F96"/>
    <mergeCell ref="I87:J87"/>
    <mergeCell ref="B98:F98"/>
    <mergeCell ref="J98:N98"/>
    <mergeCell ref="K92:L92"/>
    <mergeCell ref="B94:N94"/>
    <mergeCell ref="B95:F95"/>
    <mergeCell ref="M92:N92"/>
    <mergeCell ref="J95:N95"/>
    <mergeCell ref="B92:F92"/>
    <mergeCell ref="M91:N91"/>
    <mergeCell ref="K87:L87"/>
    <mergeCell ref="B86:F86"/>
    <mergeCell ref="I86:J86"/>
    <mergeCell ref="I88:J88"/>
    <mergeCell ref="G86:H86"/>
    <mergeCell ref="G88:H88"/>
    <mergeCell ref="G90:H90"/>
    <mergeCell ref="G87:H87"/>
    <mergeCell ref="M82:N82"/>
    <mergeCell ref="M83:N83"/>
    <mergeCell ref="M84:N84"/>
    <mergeCell ref="M85:N85"/>
    <mergeCell ref="K90:L90"/>
    <mergeCell ref="M87:N87"/>
    <mergeCell ref="M88:N88"/>
    <mergeCell ref="M89:N89"/>
    <mergeCell ref="M90:N90"/>
    <mergeCell ref="J103:N103"/>
    <mergeCell ref="M86:N86"/>
    <mergeCell ref="I89:J89"/>
    <mergeCell ref="I90:J90"/>
    <mergeCell ref="I92:J92"/>
    <mergeCell ref="K89:L89"/>
    <mergeCell ref="J96:N96"/>
    <mergeCell ref="I91:J91"/>
    <mergeCell ref="J97:N97"/>
    <mergeCell ref="K91:L91"/>
    <mergeCell ref="B105:F105"/>
    <mergeCell ref="B101:F101"/>
    <mergeCell ref="J101:N101"/>
    <mergeCell ref="B102:F102"/>
    <mergeCell ref="J102:N102"/>
    <mergeCell ref="B99:F99"/>
    <mergeCell ref="J99:N99"/>
    <mergeCell ref="B100:F100"/>
    <mergeCell ref="J100:N100"/>
    <mergeCell ref="B103:F103"/>
    <mergeCell ref="I131:J131"/>
    <mergeCell ref="K131:L131"/>
    <mergeCell ref="I132:J132"/>
    <mergeCell ref="K132:L132"/>
    <mergeCell ref="B104:F104"/>
    <mergeCell ref="B109:J109"/>
    <mergeCell ref="B126:F126"/>
    <mergeCell ref="G126:H126"/>
    <mergeCell ref="I126:J126"/>
    <mergeCell ref="J104:N104"/>
    <mergeCell ref="M133:N133"/>
    <mergeCell ref="B132:F132"/>
    <mergeCell ref="G132:H132"/>
    <mergeCell ref="B133:F133"/>
    <mergeCell ref="G133:H133"/>
    <mergeCell ref="I133:J133"/>
    <mergeCell ref="K133:L133"/>
    <mergeCell ref="M132:N132"/>
    <mergeCell ref="M131:N131"/>
    <mergeCell ref="K109:L109"/>
    <mergeCell ref="K127:L127"/>
    <mergeCell ref="K128:L128"/>
    <mergeCell ref="K129:L129"/>
    <mergeCell ref="M130:N130"/>
    <mergeCell ref="K114:L114"/>
    <mergeCell ref="M114:N114"/>
    <mergeCell ref="K112:L112"/>
    <mergeCell ref="M109:N109"/>
    <mergeCell ref="K20:L20"/>
    <mergeCell ref="M20:N20"/>
    <mergeCell ref="I130:J130"/>
    <mergeCell ref="K130:L130"/>
    <mergeCell ref="K22:L22"/>
    <mergeCell ref="M22:N22"/>
    <mergeCell ref="K84:L84"/>
    <mergeCell ref="K85:L85"/>
    <mergeCell ref="K86:L86"/>
    <mergeCell ref="K88:L88"/>
    <mergeCell ref="B20:E20"/>
    <mergeCell ref="F20:J20"/>
    <mergeCell ref="B4:E4"/>
    <mergeCell ref="F4:J4"/>
    <mergeCell ref="B6:E6"/>
    <mergeCell ref="F6:J6"/>
    <mergeCell ref="B5:E5"/>
    <mergeCell ref="F5:J5"/>
    <mergeCell ref="B8:E8"/>
    <mergeCell ref="B11:E11"/>
    <mergeCell ref="B3:E3"/>
    <mergeCell ref="F2:J2"/>
    <mergeCell ref="B2:E2"/>
    <mergeCell ref="K5:L5"/>
    <mergeCell ref="K3:L3"/>
    <mergeCell ref="K4:L4"/>
    <mergeCell ref="M2:N2"/>
    <mergeCell ref="K2:L2"/>
    <mergeCell ref="F3:J3"/>
    <mergeCell ref="M8:N8"/>
    <mergeCell ref="M7:N7"/>
    <mergeCell ref="M5:N5"/>
    <mergeCell ref="M3:N3"/>
    <mergeCell ref="M4:N4"/>
    <mergeCell ref="K6:L6"/>
    <mergeCell ref="M6:N6"/>
    <mergeCell ref="K8:L8"/>
    <mergeCell ref="B7:E7"/>
    <mergeCell ref="F7:J7"/>
    <mergeCell ref="K7:L7"/>
    <mergeCell ref="F8:J8"/>
    <mergeCell ref="F9:J9"/>
    <mergeCell ref="K9:L9"/>
    <mergeCell ref="B9:E9"/>
    <mergeCell ref="F12:J12"/>
    <mergeCell ref="K12:L12"/>
    <mergeCell ref="M12:N12"/>
    <mergeCell ref="M9:N9"/>
    <mergeCell ref="B10:E10"/>
    <mergeCell ref="F10:J10"/>
    <mergeCell ref="K10:L10"/>
    <mergeCell ref="M10:N10"/>
    <mergeCell ref="F11:J11"/>
    <mergeCell ref="K11:L11"/>
    <mergeCell ref="M11:N11"/>
    <mergeCell ref="B15:E15"/>
    <mergeCell ref="F15:J15"/>
    <mergeCell ref="K15:L15"/>
    <mergeCell ref="M15:N15"/>
    <mergeCell ref="B14:E14"/>
    <mergeCell ref="F14:J14"/>
    <mergeCell ref="K14:L14"/>
    <mergeCell ref="M14:N14"/>
    <mergeCell ref="B12:E12"/>
    <mergeCell ref="B17:E17"/>
    <mergeCell ref="F17:J17"/>
    <mergeCell ref="K17:L17"/>
    <mergeCell ref="M17:N17"/>
    <mergeCell ref="B16:E16"/>
    <mergeCell ref="F16:J16"/>
    <mergeCell ref="K16:L16"/>
    <mergeCell ref="M16:N16"/>
    <mergeCell ref="B18:E18"/>
    <mergeCell ref="F18:J18"/>
    <mergeCell ref="K18:L18"/>
    <mergeCell ref="M18:N18"/>
    <mergeCell ref="B19:E19"/>
    <mergeCell ref="F19:J19"/>
    <mergeCell ref="K19:L19"/>
    <mergeCell ref="M19:N19"/>
    <mergeCell ref="B21:E21"/>
    <mergeCell ref="F21:J21"/>
    <mergeCell ref="K21:L21"/>
    <mergeCell ref="M21:N21"/>
    <mergeCell ref="K23:L23"/>
    <mergeCell ref="M23:N23"/>
    <mergeCell ref="B24:E24"/>
    <mergeCell ref="F24:J24"/>
    <mergeCell ref="K24:L24"/>
    <mergeCell ref="M24:N24"/>
    <mergeCell ref="B23:E23"/>
    <mergeCell ref="F23:J23"/>
    <mergeCell ref="B1:N1"/>
    <mergeCell ref="B13:N13"/>
    <mergeCell ref="M27:N27"/>
    <mergeCell ref="K27:L27"/>
    <mergeCell ref="I27:J27"/>
    <mergeCell ref="G27:H27"/>
    <mergeCell ref="B26:N26"/>
    <mergeCell ref="B27:F27"/>
    <mergeCell ref="B22:E22"/>
    <mergeCell ref="F22:J22"/>
    <mergeCell ref="B56:F56"/>
    <mergeCell ref="J56:N56"/>
    <mergeCell ref="B53:N53"/>
    <mergeCell ref="B54:F54"/>
    <mergeCell ref="J54:N54"/>
    <mergeCell ref="B55:F55"/>
    <mergeCell ref="J55:N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97" customWidth="1"/>
    <col min="2" max="2" width="23.8515625" style="197" customWidth="1"/>
    <col min="3" max="3" width="19.421875" style="197" customWidth="1"/>
    <col min="4" max="4" width="14.28125" style="197" customWidth="1"/>
    <col min="5" max="5" width="14.421875" style="197" customWidth="1"/>
    <col min="6" max="6" width="14.28125" style="197" customWidth="1"/>
    <col min="7" max="16384" width="9.140625" style="197" customWidth="1"/>
  </cols>
  <sheetData>
    <row r="1" spans="2:6" ht="15">
      <c r="B1" s="616" t="s">
        <v>163</v>
      </c>
      <c r="C1" s="616"/>
      <c r="D1" s="616"/>
      <c r="E1" s="616"/>
      <c r="F1" s="616"/>
    </row>
    <row r="2" spans="2:6" ht="12.75">
      <c r="B2" s="738" t="s">
        <v>164</v>
      </c>
      <c r="C2" s="738" t="s">
        <v>165</v>
      </c>
      <c r="D2" s="599" t="s">
        <v>441</v>
      </c>
      <c r="E2" s="602"/>
      <c r="F2" s="600"/>
    </row>
    <row r="3" spans="2:6" ht="38.25" customHeight="1">
      <c r="B3" s="739"/>
      <c r="C3" s="739"/>
      <c r="D3" s="461" t="s">
        <v>444</v>
      </c>
      <c r="E3" s="461" t="s">
        <v>442</v>
      </c>
      <c r="F3" s="461" t="s">
        <v>443</v>
      </c>
    </row>
    <row r="4" spans="2:6" ht="12.75">
      <c r="B4" s="430" t="s">
        <v>642</v>
      </c>
      <c r="C4" s="430" t="s">
        <v>679</v>
      </c>
      <c r="D4" s="449"/>
      <c r="E4" s="449"/>
      <c r="F4" s="449"/>
    </row>
    <row r="5" spans="2:6" ht="12.75">
      <c r="B5" s="430" t="s">
        <v>680</v>
      </c>
      <c r="C5" s="196" t="s">
        <v>641</v>
      </c>
      <c r="D5" s="449"/>
      <c r="E5" s="449"/>
      <c r="F5" s="449"/>
    </row>
    <row r="6" spans="2:6" ht="12.75">
      <c r="B6" s="430" t="s">
        <v>735</v>
      </c>
      <c r="C6" s="430" t="s">
        <v>681</v>
      </c>
      <c r="D6" s="449"/>
      <c r="E6" s="449"/>
      <c r="F6" s="449"/>
    </row>
    <row r="7" spans="2:6" ht="12.75">
      <c r="B7" s="430" t="s">
        <v>643</v>
      </c>
      <c r="C7" s="430" t="s">
        <v>737</v>
      </c>
      <c r="D7" s="449"/>
      <c r="E7" s="449"/>
      <c r="F7" s="449"/>
    </row>
    <row r="8" spans="2:6" ht="12.75">
      <c r="B8" s="430" t="s">
        <v>736</v>
      </c>
      <c r="C8" s="430" t="s">
        <v>737</v>
      </c>
      <c r="D8" s="484"/>
      <c r="E8" s="449"/>
      <c r="F8" s="449"/>
    </row>
    <row r="9" spans="2:6" ht="12.75">
      <c r="B9" s="430"/>
      <c r="C9" s="430"/>
      <c r="D9" s="449"/>
      <c r="E9" s="449"/>
      <c r="F9" s="449"/>
    </row>
    <row r="10" spans="2:6" ht="12.75">
      <c r="B10" s="316" t="s">
        <v>92</v>
      </c>
      <c r="C10" s="452"/>
      <c r="D10" s="462"/>
      <c r="E10" s="462"/>
      <c r="F10" s="462"/>
    </row>
    <row r="12" spans="2:6" s="340" customFormat="1" ht="12.75">
      <c r="B12" s="197"/>
      <c r="C12" s="197"/>
      <c r="D12" s="197"/>
      <c r="E12" s="197"/>
      <c r="F12" s="197"/>
    </row>
    <row r="36" ht="12" customHeight="1"/>
  </sheetData>
  <sheetProtection/>
  <mergeCells count="4">
    <mergeCell ref="B1:F1"/>
    <mergeCell ref="D2:F2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34">
      <selection activeCell="H51" sqref="H51"/>
    </sheetView>
  </sheetViews>
  <sheetFormatPr defaultColWidth="9.140625" defaultRowHeight="12.75"/>
  <sheetData>
    <row r="3" spans="1:9" ht="12.75">
      <c r="A3" s="2"/>
      <c r="B3" s="2" t="s">
        <v>125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126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127</v>
      </c>
      <c r="B8" s="2" t="s">
        <v>128</v>
      </c>
      <c r="C8" s="2"/>
      <c r="D8" s="3"/>
      <c r="E8" s="2"/>
      <c r="F8" s="4">
        <v>0</v>
      </c>
      <c r="G8" s="2"/>
      <c r="H8" s="2"/>
      <c r="I8" s="2"/>
    </row>
    <row r="9" spans="1:9" ht="12.75">
      <c r="A9" s="2" t="s">
        <v>129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130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131</v>
      </c>
      <c r="B12" s="2"/>
      <c r="C12" s="2"/>
      <c r="D12" s="2"/>
      <c r="E12" s="2"/>
      <c r="F12" s="4">
        <v>0</v>
      </c>
      <c r="G12" s="2"/>
      <c r="H12" s="2"/>
      <c r="I12" s="2"/>
    </row>
    <row r="13" spans="1:9" ht="12.75">
      <c r="A13" s="2" t="s">
        <v>132</v>
      </c>
      <c r="B13" s="2"/>
      <c r="C13" s="2"/>
      <c r="D13" s="2"/>
      <c r="E13" s="2"/>
      <c r="F13" s="4"/>
      <c r="G13" s="2"/>
      <c r="H13" s="2"/>
      <c r="I13" s="2"/>
    </row>
    <row r="14" spans="1:9" ht="12.75">
      <c r="A14" s="2" t="s">
        <v>133</v>
      </c>
      <c r="B14" s="2"/>
      <c r="C14" s="2"/>
      <c r="D14" s="2"/>
      <c r="E14" s="2"/>
      <c r="F14" s="4"/>
      <c r="G14" s="2"/>
      <c r="H14" s="2"/>
      <c r="I14" s="2"/>
    </row>
    <row r="15" spans="1:9" ht="12.75">
      <c r="A15" s="2" t="s">
        <v>134</v>
      </c>
      <c r="B15" s="2"/>
      <c r="C15" s="2"/>
      <c r="D15" s="2"/>
      <c r="E15" s="2"/>
      <c r="F15" s="4"/>
      <c r="G15" s="2"/>
      <c r="H15" s="2"/>
      <c r="I15" s="2"/>
    </row>
    <row r="16" spans="1:9" ht="12.75">
      <c r="A16" s="2" t="s">
        <v>135</v>
      </c>
      <c r="B16" s="2"/>
      <c r="C16" s="2"/>
      <c r="D16" s="2"/>
      <c r="E16" s="2"/>
      <c r="F16" s="4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136</v>
      </c>
      <c r="B18" s="2"/>
      <c r="C18" s="2"/>
      <c r="D18" s="2"/>
      <c r="E18" s="2"/>
      <c r="F18" s="4">
        <f>F8-F12-F13-F14-F15-F16</f>
        <v>0</v>
      </c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137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138</v>
      </c>
      <c r="B26" s="2"/>
      <c r="C26" s="2"/>
      <c r="D26" s="2" t="s">
        <v>139</v>
      </c>
      <c r="E26" s="2"/>
      <c r="F26" s="2"/>
      <c r="G26" s="2"/>
      <c r="H26" s="2"/>
      <c r="I26" s="2"/>
    </row>
    <row r="27" spans="1:9" ht="12.75">
      <c r="A27" s="2"/>
      <c r="B27" s="2"/>
      <c r="C27" s="2"/>
      <c r="D27" s="2" t="s">
        <v>140</v>
      </c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5" t="s">
        <v>141</v>
      </c>
      <c r="H28" s="6"/>
      <c r="I28" s="2"/>
    </row>
    <row r="29" spans="1:9" ht="12.75">
      <c r="A29" s="7"/>
      <c r="B29" s="8"/>
      <c r="C29" s="9"/>
      <c r="D29" s="10" t="s">
        <v>104</v>
      </c>
      <c r="E29" s="10" t="s">
        <v>142</v>
      </c>
      <c r="F29" s="10" t="s">
        <v>143</v>
      </c>
      <c r="G29" s="11" t="s">
        <v>144</v>
      </c>
      <c r="H29" s="11" t="s">
        <v>145</v>
      </c>
      <c r="I29" s="10" t="s">
        <v>146</v>
      </c>
    </row>
    <row r="30" spans="1:9" ht="12.75">
      <c r="A30" s="12"/>
      <c r="B30" s="13"/>
      <c r="C30" s="14"/>
      <c r="D30" s="15" t="s">
        <v>147</v>
      </c>
      <c r="E30" s="15" t="s">
        <v>148</v>
      </c>
      <c r="F30" s="15" t="s">
        <v>149</v>
      </c>
      <c r="G30" s="15" t="s">
        <v>150</v>
      </c>
      <c r="H30" s="15" t="s">
        <v>151</v>
      </c>
      <c r="I30" s="15" t="s">
        <v>152</v>
      </c>
    </row>
    <row r="31" spans="1:9" ht="12.75">
      <c r="A31" s="7" t="s">
        <v>153</v>
      </c>
      <c r="B31" s="6"/>
      <c r="C31" s="16" t="s">
        <v>612</v>
      </c>
      <c r="D31" s="4">
        <v>0</v>
      </c>
      <c r="E31" s="4"/>
      <c r="F31" s="4">
        <f>D31-E31</f>
        <v>0</v>
      </c>
      <c r="G31" s="4">
        <v>365</v>
      </c>
      <c r="H31" s="4">
        <f>G31/365</f>
        <v>1</v>
      </c>
      <c r="I31" s="4">
        <f>F31*H31</f>
        <v>0</v>
      </c>
    </row>
    <row r="32" spans="1:9" ht="12.75">
      <c r="A32" s="5" t="s">
        <v>154</v>
      </c>
      <c r="B32" s="6"/>
      <c r="C32" s="16" t="s">
        <v>613</v>
      </c>
      <c r="D32" s="4">
        <v>0</v>
      </c>
      <c r="E32" s="4"/>
      <c r="F32" s="15">
        <v>0</v>
      </c>
      <c r="G32" s="4">
        <v>365</v>
      </c>
      <c r="H32" s="4">
        <f>G32/365</f>
        <v>1</v>
      </c>
      <c r="I32" s="4">
        <f>F32*H32</f>
        <v>0</v>
      </c>
    </row>
    <row r="33" spans="1:9" ht="12.75">
      <c r="A33" s="2" t="s">
        <v>155</v>
      </c>
      <c r="B33" s="2" t="s">
        <v>156</v>
      </c>
      <c r="C33" s="2"/>
      <c r="D33" s="2"/>
      <c r="E33" s="2"/>
      <c r="F33" s="2"/>
      <c r="G33" s="2"/>
      <c r="H33" s="2"/>
      <c r="I33" s="17">
        <f>SUM(I31:I32)</f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740" t="s">
        <v>157</v>
      </c>
      <c r="B35" s="740"/>
      <c r="C35" s="740"/>
      <c r="D35" s="740"/>
      <c r="E35" s="740"/>
      <c r="F35" s="740"/>
      <c r="G35" s="740"/>
      <c r="H35" s="740"/>
      <c r="I35" s="740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193"/>
      <c r="F37" s="2"/>
      <c r="G37" s="2"/>
      <c r="H37" s="2"/>
      <c r="I37" s="2"/>
    </row>
    <row r="38" spans="1:9" ht="12.75">
      <c r="A38" s="2" t="s">
        <v>158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159</v>
      </c>
      <c r="B40" s="2"/>
      <c r="C40" s="2"/>
      <c r="D40" s="2"/>
      <c r="E40" s="4">
        <v>0</v>
      </c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160</v>
      </c>
      <c r="B42" s="2"/>
      <c r="C42" s="2"/>
      <c r="D42" s="2"/>
      <c r="E42" s="18">
        <f>I33</f>
        <v>0</v>
      </c>
      <c r="F42" s="2"/>
      <c r="G42" s="2" t="s">
        <v>161</v>
      </c>
      <c r="H42" s="2"/>
      <c r="I42" s="19" t="e">
        <f>E40/E42</f>
        <v>#DIV/0!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1">
    <mergeCell ref="A35:I3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9">
      <selection activeCell="B10" sqref="B10:D10"/>
    </sheetView>
  </sheetViews>
  <sheetFormatPr defaultColWidth="9.140625" defaultRowHeight="12.75"/>
  <cols>
    <col min="1" max="1" width="9.140625" style="317" customWidth="1"/>
    <col min="2" max="2" width="24.140625" style="317" customWidth="1"/>
    <col min="3" max="3" width="26.57421875" style="317" customWidth="1"/>
    <col min="4" max="4" width="13.28125" style="317" customWidth="1"/>
    <col min="5" max="13" width="9.140625" style="317" customWidth="1"/>
    <col min="14" max="14" width="16.00390625" style="317" customWidth="1"/>
    <col min="15" max="16384" width="9.140625" style="317" customWidth="1"/>
  </cols>
  <sheetData>
    <row r="2" spans="2:6" ht="15">
      <c r="B2" s="742" t="s">
        <v>577</v>
      </c>
      <c r="C2" s="742"/>
      <c r="D2" s="742"/>
      <c r="F2" s="440" t="s">
        <v>578</v>
      </c>
    </row>
    <row r="3" spans="2:4" ht="12.75">
      <c r="B3" s="640" t="s">
        <v>579</v>
      </c>
      <c r="C3" s="640"/>
      <c r="D3" s="640"/>
    </row>
    <row r="4" spans="2:14" ht="38.25">
      <c r="B4" s="439" t="s">
        <v>580</v>
      </c>
      <c r="C4" s="439" t="s">
        <v>581</v>
      </c>
      <c r="D4" s="439" t="s">
        <v>582</v>
      </c>
      <c r="E4" s="441"/>
      <c r="F4" s="741" t="s">
        <v>583</v>
      </c>
      <c r="G4" s="741"/>
      <c r="H4" s="741"/>
      <c r="I4" s="741"/>
      <c r="J4" s="741"/>
      <c r="K4" s="741"/>
      <c r="L4" s="741"/>
      <c r="M4" s="741"/>
      <c r="N4" s="741"/>
    </row>
    <row r="5" spans="2:6" ht="12.75">
      <c r="B5" s="482" t="s">
        <v>655</v>
      </c>
      <c r="C5" s="482" t="s">
        <v>628</v>
      </c>
      <c r="D5" s="482">
        <v>2688</v>
      </c>
      <c r="F5" s="317" t="s">
        <v>584</v>
      </c>
    </row>
    <row r="6" spans="2:6" ht="12.75">
      <c r="B6" s="482" t="s">
        <v>656</v>
      </c>
      <c r="C6" s="482" t="s">
        <v>657</v>
      </c>
      <c r="D6" s="482">
        <v>5500</v>
      </c>
      <c r="F6" s="317" t="s">
        <v>585</v>
      </c>
    </row>
    <row r="7" spans="2:6" ht="12.75">
      <c r="B7" s="483" t="s">
        <v>662</v>
      </c>
      <c r="C7" s="482" t="s">
        <v>657</v>
      </c>
      <c r="D7" s="483">
        <v>3783</v>
      </c>
      <c r="F7" s="317" t="s">
        <v>586</v>
      </c>
    </row>
    <row r="8" spans="2:6" ht="12.75">
      <c r="B8" s="438" t="s">
        <v>667</v>
      </c>
      <c r="C8" s="438" t="s">
        <v>666</v>
      </c>
      <c r="D8" s="438">
        <v>3000</v>
      </c>
      <c r="F8" s="317" t="s">
        <v>587</v>
      </c>
    </row>
    <row r="9" spans="2:4" ht="12.75">
      <c r="B9" s="482" t="s">
        <v>694</v>
      </c>
      <c r="C9" s="482" t="s">
        <v>695</v>
      </c>
      <c r="D9" s="482">
        <v>10181</v>
      </c>
    </row>
    <row r="10" spans="2:4" ht="12.75">
      <c r="B10" s="501"/>
      <c r="C10" s="502"/>
      <c r="D10" s="501"/>
    </row>
    <row r="11" spans="2:4" ht="12.75">
      <c r="B11" s="438"/>
      <c r="C11" s="438"/>
      <c r="D11" s="438"/>
    </row>
    <row r="12" spans="2:4" ht="12.75">
      <c r="B12" s="438"/>
      <c r="C12" s="438"/>
      <c r="D12" s="438"/>
    </row>
    <row r="13" spans="2:4" ht="15">
      <c r="B13" s="742" t="s">
        <v>588</v>
      </c>
      <c r="C13" s="742"/>
      <c r="D13" s="742"/>
    </row>
    <row r="14" spans="2:4" ht="12.75">
      <c r="B14" s="640" t="s">
        <v>589</v>
      </c>
      <c r="C14" s="640"/>
      <c r="D14" s="640"/>
    </row>
    <row r="15" spans="2:4" ht="38.25">
      <c r="B15" s="439" t="s">
        <v>580</v>
      </c>
      <c r="C15" s="439" t="s">
        <v>590</v>
      </c>
      <c r="D15" s="439" t="s">
        <v>582</v>
      </c>
    </row>
    <row r="16" spans="2:4" ht="12.75">
      <c r="B16" s="438"/>
      <c r="C16" s="438"/>
      <c r="D16" s="438"/>
    </row>
    <row r="17" spans="2:4" ht="12.75">
      <c r="B17" s="438"/>
      <c r="C17" s="438"/>
      <c r="D17" s="438"/>
    </row>
    <row r="18" spans="2:4" ht="12.75">
      <c r="B18" s="438"/>
      <c r="C18" s="438"/>
      <c r="D18" s="438"/>
    </row>
    <row r="19" spans="2:4" ht="12.75">
      <c r="B19" s="438"/>
      <c r="C19" s="438"/>
      <c r="D19" s="438"/>
    </row>
    <row r="20" spans="2:4" ht="12.75">
      <c r="B20" s="438"/>
      <c r="C20" s="438"/>
      <c r="D20" s="438"/>
    </row>
    <row r="21" spans="2:4" ht="12.75">
      <c r="B21" s="438"/>
      <c r="C21" s="438"/>
      <c r="D21" s="438"/>
    </row>
    <row r="22" spans="2:4" ht="12.75">
      <c r="B22" s="438"/>
      <c r="C22" s="438"/>
      <c r="D22" s="438"/>
    </row>
    <row r="23" spans="2:4" ht="12.75">
      <c r="B23" s="438"/>
      <c r="C23" s="438"/>
      <c r="D23" s="438"/>
    </row>
  </sheetData>
  <sheetProtection/>
  <mergeCells count="5">
    <mergeCell ref="B14:D14"/>
    <mergeCell ref="F4:N4"/>
    <mergeCell ref="B2:D2"/>
    <mergeCell ref="B3:D3"/>
    <mergeCell ref="B13:D1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9.140625" style="197" customWidth="1"/>
    <col min="2" max="2" width="4.57421875" style="197" customWidth="1"/>
    <col min="3" max="5" width="9.140625" style="197" customWidth="1"/>
    <col min="6" max="6" width="9.421875" style="197" bestFit="1" customWidth="1"/>
    <col min="7" max="9" width="9.140625" style="197" customWidth="1"/>
    <col min="10" max="10" width="2.8515625" style="197" customWidth="1"/>
    <col min="11" max="16384" width="9.140625" style="197" customWidth="1"/>
  </cols>
  <sheetData>
    <row r="1" spans="2:9" ht="15">
      <c r="B1" s="616" t="s">
        <v>448</v>
      </c>
      <c r="C1" s="616"/>
      <c r="D1" s="616"/>
      <c r="E1" s="616"/>
      <c r="F1" s="616"/>
      <c r="G1" s="616"/>
      <c r="H1" s="616"/>
      <c r="I1" s="616"/>
    </row>
    <row r="2" spans="2:9" ht="12.75">
      <c r="B2" s="625" t="s">
        <v>447</v>
      </c>
      <c r="C2" s="686" t="s">
        <v>448</v>
      </c>
      <c r="D2" s="743"/>
      <c r="E2" s="743"/>
      <c r="F2" s="463" t="s">
        <v>738</v>
      </c>
      <c r="G2" s="463" t="s">
        <v>717</v>
      </c>
      <c r="H2" s="625" t="s">
        <v>445</v>
      </c>
      <c r="I2" s="625"/>
    </row>
    <row r="3" spans="2:9" ht="12.75">
      <c r="B3" s="625"/>
      <c r="C3" s="687"/>
      <c r="D3" s="744"/>
      <c r="E3" s="744"/>
      <c r="F3" s="429" t="s">
        <v>114</v>
      </c>
      <c r="G3" s="429" t="s">
        <v>114</v>
      </c>
      <c r="H3" s="429" t="s">
        <v>114</v>
      </c>
      <c r="I3" s="429" t="s">
        <v>446</v>
      </c>
    </row>
    <row r="4" spans="2:9" ht="12.75">
      <c r="B4" s="445">
        <v>1</v>
      </c>
      <c r="C4" s="679" t="s">
        <v>450</v>
      </c>
      <c r="D4" s="706"/>
      <c r="E4" s="706"/>
      <c r="F4" s="232">
        <f>баланс!E14</f>
        <v>102876</v>
      </c>
      <c r="G4" s="232">
        <f>баланс!G14</f>
        <v>106990</v>
      </c>
      <c r="H4" s="232">
        <f aca="true" t="shared" si="0" ref="H4:H19">F4-G4</f>
        <v>-4114</v>
      </c>
      <c r="I4" s="464">
        <f>H4/G4</f>
        <v>-0.03845219179362557</v>
      </c>
    </row>
    <row r="5" spans="2:9" ht="12.75">
      <c r="B5" s="445">
        <v>2</v>
      </c>
      <c r="C5" s="679" t="s">
        <v>451</v>
      </c>
      <c r="D5" s="706"/>
      <c r="E5" s="706"/>
      <c r="F5" s="232">
        <f>SUM(F6:F10)</f>
        <v>26255</v>
      </c>
      <c r="G5" s="232">
        <f>SUM(G6:G10)</f>
        <v>29807</v>
      </c>
      <c r="H5" s="232">
        <f t="shared" si="0"/>
        <v>-3552</v>
      </c>
      <c r="I5" s="464">
        <f aca="true" t="shared" si="1" ref="I5:I19">H5/G5</f>
        <v>-0.11916663870902808</v>
      </c>
    </row>
    <row r="6" spans="2:9" ht="12.75">
      <c r="B6" s="445">
        <v>3</v>
      </c>
      <c r="C6" s="679" t="s">
        <v>452</v>
      </c>
      <c r="D6" s="706"/>
      <c r="E6" s="706"/>
      <c r="F6" s="232"/>
      <c r="G6" s="232"/>
      <c r="H6" s="232">
        <f t="shared" si="0"/>
        <v>0</v>
      </c>
      <c r="I6" s="464" t="e">
        <f t="shared" si="1"/>
        <v>#DIV/0!</v>
      </c>
    </row>
    <row r="7" spans="2:9" ht="12.75">
      <c r="B7" s="445">
        <v>4</v>
      </c>
      <c r="C7" s="679" t="s">
        <v>20</v>
      </c>
      <c r="D7" s="706"/>
      <c r="E7" s="706"/>
      <c r="F7" s="232">
        <f>баланс!E16</f>
        <v>2299</v>
      </c>
      <c r="G7" s="232">
        <f>баланс!G16</f>
        <v>2350</v>
      </c>
      <c r="H7" s="232">
        <f t="shared" si="0"/>
        <v>-51</v>
      </c>
      <c r="I7" s="464">
        <f t="shared" si="1"/>
        <v>-0.02170212765957447</v>
      </c>
    </row>
    <row r="8" spans="2:9" ht="12.75">
      <c r="B8" s="445">
        <v>5</v>
      </c>
      <c r="C8" s="679" t="s">
        <v>250</v>
      </c>
      <c r="D8" s="706"/>
      <c r="E8" s="706"/>
      <c r="F8" s="232">
        <f>баланс!E18</f>
        <v>23897</v>
      </c>
      <c r="G8" s="232">
        <f>баланс!G18</f>
        <v>27166</v>
      </c>
      <c r="H8" s="232">
        <f t="shared" si="0"/>
        <v>-3269</v>
      </c>
      <c r="I8" s="464">
        <f t="shared" si="1"/>
        <v>-0.1203342413310756</v>
      </c>
    </row>
    <row r="9" spans="2:9" ht="12.75">
      <c r="B9" s="445">
        <v>6</v>
      </c>
      <c r="C9" s="679" t="s">
        <v>453</v>
      </c>
      <c r="D9" s="706"/>
      <c r="E9" s="706"/>
      <c r="F9" s="232"/>
      <c r="G9" s="232"/>
      <c r="H9" s="232">
        <f t="shared" si="0"/>
        <v>0</v>
      </c>
      <c r="I9" s="464" t="e">
        <f t="shared" si="1"/>
        <v>#DIV/0!</v>
      </c>
    </row>
    <row r="10" spans="2:9" ht="12.75">
      <c r="B10" s="445">
        <v>7</v>
      </c>
      <c r="C10" s="679" t="s">
        <v>29</v>
      </c>
      <c r="D10" s="706"/>
      <c r="E10" s="706"/>
      <c r="F10" s="232">
        <f>баланс!E19</f>
        <v>59</v>
      </c>
      <c r="G10" s="232">
        <f>баланс!G19</f>
        <v>291</v>
      </c>
      <c r="H10" s="232">
        <f t="shared" si="0"/>
        <v>-232</v>
      </c>
      <c r="I10" s="464">
        <f t="shared" si="1"/>
        <v>-0.7972508591065293</v>
      </c>
    </row>
    <row r="11" spans="2:9" ht="12.75">
      <c r="B11" s="445">
        <v>8</v>
      </c>
      <c r="C11" s="679" t="s">
        <v>454</v>
      </c>
      <c r="D11" s="706"/>
      <c r="E11" s="706"/>
      <c r="F11" s="232">
        <f>F4+F5</f>
        <v>129131</v>
      </c>
      <c r="G11" s="232">
        <f>G4+G5</f>
        <v>136797</v>
      </c>
      <c r="H11" s="232">
        <f t="shared" si="0"/>
        <v>-7666</v>
      </c>
      <c r="I11" s="464">
        <f t="shared" si="1"/>
        <v>-0.05603924062662193</v>
      </c>
    </row>
    <row r="12" spans="2:9" ht="12.75">
      <c r="B12" s="445">
        <v>9</v>
      </c>
      <c r="C12" s="679" t="s">
        <v>21</v>
      </c>
      <c r="D12" s="706"/>
      <c r="E12" s="706"/>
      <c r="F12" s="232">
        <f>баланс!E33</f>
        <v>40056</v>
      </c>
      <c r="G12" s="232">
        <f>баланс!G33</f>
        <v>38418</v>
      </c>
      <c r="H12" s="232">
        <f t="shared" si="0"/>
        <v>1638</v>
      </c>
      <c r="I12" s="464">
        <f t="shared" si="1"/>
        <v>0.04263626425113228</v>
      </c>
    </row>
    <row r="13" spans="2:9" ht="12.75">
      <c r="B13" s="445">
        <v>10</v>
      </c>
      <c r="C13" s="679" t="s">
        <v>26</v>
      </c>
      <c r="D13" s="706"/>
      <c r="E13" s="706"/>
      <c r="F13" s="232">
        <f>баланс!E31</f>
        <v>1636</v>
      </c>
      <c r="G13" s="232">
        <f>баланс!G31</f>
        <v>-7811</v>
      </c>
      <c r="H13" s="232">
        <f t="shared" si="0"/>
        <v>9447</v>
      </c>
      <c r="I13" s="464">
        <f t="shared" si="1"/>
        <v>-1.209448214057099</v>
      </c>
    </row>
    <row r="14" spans="2:9" ht="12.75">
      <c r="B14" s="445">
        <v>11</v>
      </c>
      <c r="C14" s="679" t="s">
        <v>520</v>
      </c>
      <c r="D14" s="706"/>
      <c r="E14" s="706"/>
      <c r="F14" s="232">
        <f>баланс!E38</f>
        <v>36933</v>
      </c>
      <c r="G14" s="232">
        <f>баланс!G38</f>
        <v>30165</v>
      </c>
      <c r="H14" s="232">
        <f t="shared" si="0"/>
        <v>6768</v>
      </c>
      <c r="I14" s="464">
        <f t="shared" si="1"/>
        <v>0.2243659870711089</v>
      </c>
    </row>
    <row r="15" spans="2:9" ht="12.75">
      <c r="B15" s="445">
        <v>12</v>
      </c>
      <c r="C15" s="679" t="s">
        <v>521</v>
      </c>
      <c r="D15" s="706"/>
      <c r="E15" s="706"/>
      <c r="F15" s="232">
        <f>баланс!E47</f>
        <v>52142</v>
      </c>
      <c r="G15" s="232">
        <f>баланс!G47</f>
        <v>68214</v>
      </c>
      <c r="H15" s="232">
        <f t="shared" si="0"/>
        <v>-16072</v>
      </c>
      <c r="I15" s="464">
        <f t="shared" si="1"/>
        <v>-0.23561145805846306</v>
      </c>
    </row>
    <row r="16" spans="2:9" ht="12.75">
      <c r="B16" s="445">
        <v>13</v>
      </c>
      <c r="C16" s="679" t="s">
        <v>522</v>
      </c>
      <c r="D16" s="706"/>
      <c r="E16" s="706"/>
      <c r="F16" s="232">
        <f>F14+F15</f>
        <v>89075</v>
      </c>
      <c r="G16" s="232">
        <f>G14+G15</f>
        <v>98379</v>
      </c>
      <c r="H16" s="232">
        <f t="shared" si="0"/>
        <v>-9304</v>
      </c>
      <c r="I16" s="464">
        <f t="shared" si="1"/>
        <v>-0.09457302879679606</v>
      </c>
    </row>
    <row r="17" spans="2:9" ht="12.75">
      <c r="B17" s="445">
        <v>14</v>
      </c>
      <c r="C17" s="679" t="s">
        <v>455</v>
      </c>
      <c r="D17" s="706"/>
      <c r="E17" s="706"/>
      <c r="F17" s="232">
        <f>ОПР!E15</f>
        <v>53314</v>
      </c>
      <c r="G17" s="232">
        <f>ОПР!G15</f>
        <v>58516</v>
      </c>
      <c r="H17" s="232">
        <f t="shared" si="0"/>
        <v>-5202</v>
      </c>
      <c r="I17" s="464">
        <f t="shared" si="1"/>
        <v>-0.0888987627315606</v>
      </c>
    </row>
    <row r="18" spans="2:9" ht="12.75">
      <c r="B18" s="445">
        <v>15</v>
      </c>
      <c r="C18" s="679" t="s">
        <v>359</v>
      </c>
      <c r="D18" s="706"/>
      <c r="E18" s="706"/>
      <c r="F18" s="232">
        <f>ОПР!E8</f>
        <v>53261</v>
      </c>
      <c r="G18" s="232">
        <f>ОПР!G8</f>
        <v>58462</v>
      </c>
      <c r="H18" s="232">
        <f t="shared" si="0"/>
        <v>-5201</v>
      </c>
      <c r="I18" s="464">
        <f t="shared" si="1"/>
        <v>-0.08896377133864733</v>
      </c>
    </row>
    <row r="19" spans="2:9" ht="12.75">
      <c r="B19" s="445">
        <v>16</v>
      </c>
      <c r="C19" s="679" t="s">
        <v>456</v>
      </c>
      <c r="D19" s="706"/>
      <c r="E19" s="706"/>
      <c r="F19" s="232">
        <f>ABS(ОПР!E31)</f>
        <v>51678</v>
      </c>
      <c r="G19" s="232">
        <f>ABS(ОПР!G31)</f>
        <v>67197</v>
      </c>
      <c r="H19" s="232">
        <f t="shared" si="0"/>
        <v>-15519</v>
      </c>
      <c r="I19" s="464">
        <f t="shared" si="1"/>
        <v>-0.23094781017009688</v>
      </c>
    </row>
    <row r="20" spans="2:9" ht="15">
      <c r="B20" s="616" t="s">
        <v>449</v>
      </c>
      <c r="C20" s="616"/>
      <c r="D20" s="616"/>
      <c r="E20" s="616"/>
      <c r="F20" s="616"/>
      <c r="G20" s="616"/>
      <c r="H20" s="616"/>
      <c r="I20" s="616"/>
    </row>
    <row r="21" spans="2:9" ht="12.75">
      <c r="B21" s="625" t="s">
        <v>447</v>
      </c>
      <c r="C21" s="686" t="s">
        <v>449</v>
      </c>
      <c r="D21" s="743"/>
      <c r="E21" s="743"/>
      <c r="F21" s="463" t="str">
        <f>F2</f>
        <v>30.06.2015г.</v>
      </c>
      <c r="G21" s="463" t="str">
        <f>G2</f>
        <v>31.12.2015г.</v>
      </c>
      <c r="H21" s="625" t="s">
        <v>445</v>
      </c>
      <c r="I21" s="625"/>
    </row>
    <row r="22" spans="2:9" ht="12.75">
      <c r="B22" s="625"/>
      <c r="C22" s="687"/>
      <c r="D22" s="744"/>
      <c r="E22" s="744"/>
      <c r="F22" s="429" t="s">
        <v>114</v>
      </c>
      <c r="G22" s="429" t="s">
        <v>114</v>
      </c>
      <c r="H22" s="429" t="s">
        <v>114</v>
      </c>
      <c r="I22" s="429" t="s">
        <v>446</v>
      </c>
    </row>
    <row r="23" spans="2:9" ht="12.75">
      <c r="B23" s="429"/>
      <c r="C23" s="747" t="s">
        <v>459</v>
      </c>
      <c r="D23" s="748"/>
      <c r="E23" s="748"/>
      <c r="F23" s="465"/>
      <c r="G23" s="465"/>
      <c r="H23" s="465"/>
      <c r="I23" s="465"/>
    </row>
    <row r="24" spans="2:11" ht="12.75">
      <c r="B24" s="445">
        <v>1</v>
      </c>
      <c r="C24" s="679" t="s">
        <v>460</v>
      </c>
      <c r="D24" s="706"/>
      <c r="E24" s="706"/>
      <c r="F24" s="466">
        <f>F13/F12</f>
        <v>0.040842820051927305</v>
      </c>
      <c r="G24" s="466">
        <f>G13/G12</f>
        <v>-0.20331615388619917</v>
      </c>
      <c r="H24" s="466">
        <f>F24-G24</f>
        <v>0.24415897393812647</v>
      </c>
      <c r="I24" s="464">
        <f>H24/G24</f>
        <v>-1.2008833005703423</v>
      </c>
      <c r="K24" s="467" t="s">
        <v>457</v>
      </c>
    </row>
    <row r="25" spans="2:11" ht="12.75">
      <c r="B25" s="445">
        <v>2</v>
      </c>
      <c r="C25" s="679" t="s">
        <v>461</v>
      </c>
      <c r="D25" s="706"/>
      <c r="E25" s="706"/>
      <c r="F25" s="466">
        <f>F13/F11</f>
        <v>0.01266930481449071</v>
      </c>
      <c r="G25" s="466">
        <f>G13/G11</f>
        <v>-0.05709920539193111</v>
      </c>
      <c r="H25" s="466">
        <f>F25-G25</f>
        <v>0.06976851020642183</v>
      </c>
      <c r="I25" s="464">
        <f>H25/G25</f>
        <v>-1.2218823314182419</v>
      </c>
      <c r="K25" s="197" t="s">
        <v>458</v>
      </c>
    </row>
    <row r="26" spans="2:11" ht="12.75">
      <c r="B26" s="445">
        <v>3</v>
      </c>
      <c r="C26" s="679" t="s">
        <v>462</v>
      </c>
      <c r="D26" s="706"/>
      <c r="E26" s="706"/>
      <c r="F26" s="466">
        <f>F13/F16</f>
        <v>0.01836654504630929</v>
      </c>
      <c r="G26" s="466">
        <f>G13/G16</f>
        <v>-0.07939702578802386</v>
      </c>
      <c r="H26" s="466">
        <f>F26-G26</f>
        <v>0.09776357083433315</v>
      </c>
      <c r="I26" s="464">
        <f>H26/G26</f>
        <v>-1.2313253533620359</v>
      </c>
      <c r="K26" s="197" t="s">
        <v>475</v>
      </c>
    </row>
    <row r="27" spans="2:11" ht="12.75">
      <c r="B27" s="445">
        <v>4</v>
      </c>
      <c r="C27" s="679" t="s">
        <v>463</v>
      </c>
      <c r="D27" s="706"/>
      <c r="E27" s="706"/>
      <c r="F27" s="466">
        <f>F13/F18</f>
        <v>0.03071665946940538</v>
      </c>
      <c r="G27" s="466">
        <f>G13/G18</f>
        <v>-0.13360815572508639</v>
      </c>
      <c r="H27" s="466">
        <f>F27-G27</f>
        <v>0.16432481519449177</v>
      </c>
      <c r="I27" s="464">
        <f>H27/G27</f>
        <v>-1.2299010812828546</v>
      </c>
      <c r="K27" s="197" t="s">
        <v>476</v>
      </c>
    </row>
    <row r="28" spans="2:9" ht="12.75">
      <c r="B28" s="445"/>
      <c r="C28" s="747" t="s">
        <v>464</v>
      </c>
      <c r="D28" s="748"/>
      <c r="E28" s="748"/>
      <c r="F28" s="466"/>
      <c r="G28" s="466"/>
      <c r="H28" s="466"/>
      <c r="I28" s="232"/>
    </row>
    <row r="29" spans="2:11" ht="12.75">
      <c r="B29" s="445">
        <v>5</v>
      </c>
      <c r="C29" s="745" t="s">
        <v>465</v>
      </c>
      <c r="D29" s="746"/>
      <c r="E29" s="746"/>
      <c r="F29" s="466">
        <f>F17/F19</f>
        <v>1.031657571887457</v>
      </c>
      <c r="G29" s="466">
        <f>G17/G19</f>
        <v>0.8708126850901082</v>
      </c>
      <c r="H29" s="466">
        <f>F29-G29</f>
        <v>0.16084488679734876</v>
      </c>
      <c r="I29" s="464">
        <f>H29/G29</f>
        <v>0.18470664191198038</v>
      </c>
      <c r="K29" s="197" t="s">
        <v>477</v>
      </c>
    </row>
    <row r="30" spans="2:11" ht="12.75">
      <c r="B30" s="445">
        <v>6</v>
      </c>
      <c r="C30" s="679" t="s">
        <v>466</v>
      </c>
      <c r="D30" s="706"/>
      <c r="E30" s="706"/>
      <c r="F30" s="466">
        <f>F19/F17</f>
        <v>0.9693138762801515</v>
      </c>
      <c r="G30" s="466">
        <f>G19/G17</f>
        <v>1.1483525873265432</v>
      </c>
      <c r="H30" s="466">
        <f>F30-G30</f>
        <v>-0.17903871104639169</v>
      </c>
      <c r="I30" s="464">
        <f>H30/G30</f>
        <v>-0.15590918070138035</v>
      </c>
      <c r="K30" s="197" t="s">
        <v>478</v>
      </c>
    </row>
    <row r="31" spans="2:9" ht="12.75">
      <c r="B31" s="445"/>
      <c r="C31" s="599" t="s">
        <v>467</v>
      </c>
      <c r="D31" s="602"/>
      <c r="E31" s="602"/>
      <c r="F31" s="466"/>
      <c r="G31" s="466"/>
      <c r="H31" s="466"/>
      <c r="I31" s="232"/>
    </row>
    <row r="32" spans="2:11" ht="12.75">
      <c r="B32" s="445">
        <v>7</v>
      </c>
      <c r="C32" s="679" t="s">
        <v>468</v>
      </c>
      <c r="D32" s="706"/>
      <c r="E32" s="706"/>
      <c r="F32" s="466">
        <f>F5/F15</f>
        <v>0.503528825131372</v>
      </c>
      <c r="G32" s="466">
        <f>G5/G15</f>
        <v>0.43696308675638434</v>
      </c>
      <c r="H32" s="466">
        <f>F32-G32</f>
        <v>0.06656573837498764</v>
      </c>
      <c r="I32" s="464">
        <f>H32/G32</f>
        <v>0.15233721198078998</v>
      </c>
      <c r="K32" s="197" t="s">
        <v>479</v>
      </c>
    </row>
    <row r="33" spans="2:11" ht="12.75">
      <c r="B33" s="445">
        <v>8</v>
      </c>
      <c r="C33" s="679" t="s">
        <v>469</v>
      </c>
      <c r="D33" s="706"/>
      <c r="E33" s="706"/>
      <c r="F33" s="466">
        <f>(F5-F6-F7)/F15</f>
        <v>0.45943768938667484</v>
      </c>
      <c r="G33" s="466">
        <f>(G5-G6-G7)/G15</f>
        <v>0.40251268068138507</v>
      </c>
      <c r="H33" s="466">
        <f>F33-G33</f>
        <v>0.05692500870528977</v>
      </c>
      <c r="I33" s="464">
        <f>H33/G33</f>
        <v>0.14142413751766894</v>
      </c>
      <c r="K33" s="197" t="s">
        <v>480</v>
      </c>
    </row>
    <row r="34" spans="2:11" ht="12.75">
      <c r="B34" s="445">
        <v>9</v>
      </c>
      <c r="C34" s="679" t="s">
        <v>470</v>
      </c>
      <c r="D34" s="706"/>
      <c r="E34" s="706"/>
      <c r="F34" s="466">
        <f>(F9+F10)/F15</f>
        <v>0.0011315254497334202</v>
      </c>
      <c r="G34" s="466">
        <f>(G9+G10)/G15</f>
        <v>0.0042659864543935265</v>
      </c>
      <c r="H34" s="466">
        <f>F34-G34</f>
        <v>-0.0031344610046601063</v>
      </c>
      <c r="I34" s="464">
        <f>H34/G34</f>
        <v>-0.7347564363294999</v>
      </c>
      <c r="K34" s="197" t="s">
        <v>481</v>
      </c>
    </row>
    <row r="35" spans="2:11" ht="12.75">
      <c r="B35" s="445">
        <v>10</v>
      </c>
      <c r="C35" s="679" t="s">
        <v>471</v>
      </c>
      <c r="D35" s="706"/>
      <c r="E35" s="706"/>
      <c r="F35" s="466">
        <f>F10/F15</f>
        <v>0.0011315254497334202</v>
      </c>
      <c r="G35" s="466">
        <f>G10/G15</f>
        <v>0.0042659864543935265</v>
      </c>
      <c r="H35" s="466">
        <f>F35-G35</f>
        <v>-0.0031344610046601063</v>
      </c>
      <c r="I35" s="464">
        <f>H35/G35</f>
        <v>-0.7347564363294999</v>
      </c>
      <c r="K35" s="197" t="s">
        <v>482</v>
      </c>
    </row>
    <row r="36" spans="2:9" ht="12.75">
      <c r="B36" s="445"/>
      <c r="C36" s="599" t="s">
        <v>472</v>
      </c>
      <c r="D36" s="602"/>
      <c r="E36" s="602"/>
      <c r="F36" s="466"/>
      <c r="G36" s="466"/>
      <c r="H36" s="466"/>
      <c r="I36" s="232"/>
    </row>
    <row r="37" spans="2:11" ht="12.75">
      <c r="B37" s="445">
        <v>11</v>
      </c>
      <c r="C37" s="679" t="s">
        <v>473</v>
      </c>
      <c r="D37" s="706"/>
      <c r="E37" s="706"/>
      <c r="F37" s="466">
        <f>F12/F16</f>
        <v>0.4496884647768734</v>
      </c>
      <c r="G37" s="466">
        <f>G12/G16</f>
        <v>0.3905101698533224</v>
      </c>
      <c r="H37" s="466">
        <f>F37-G37</f>
        <v>0.059178294923551034</v>
      </c>
      <c r="I37" s="464">
        <f>H37/G37</f>
        <v>0.151540982775887</v>
      </c>
      <c r="K37" s="197" t="s">
        <v>483</v>
      </c>
    </row>
    <row r="38" spans="2:11" ht="12.75">
      <c r="B38" s="445">
        <v>12</v>
      </c>
      <c r="C38" s="679" t="s">
        <v>474</v>
      </c>
      <c r="D38" s="706"/>
      <c r="E38" s="706"/>
      <c r="F38" s="466">
        <f>F16/F12</f>
        <v>2.223761733572998</v>
      </c>
      <c r="G38" s="466">
        <f>G16/G12</f>
        <v>2.56075277213806</v>
      </c>
      <c r="H38" s="466">
        <f>F38-G38</f>
        <v>-0.3369910385650621</v>
      </c>
      <c r="I38" s="464">
        <f>H38/G38</f>
        <v>-0.13159842770908992</v>
      </c>
      <c r="K38" s="197" t="s">
        <v>484</v>
      </c>
    </row>
  </sheetData>
  <sheetProtection/>
  <mergeCells count="40">
    <mergeCell ref="C27:E27"/>
    <mergeCell ref="C17:E17"/>
    <mergeCell ref="B20:I20"/>
    <mergeCell ref="C38:E38"/>
    <mergeCell ref="C33:E33"/>
    <mergeCell ref="C34:E34"/>
    <mergeCell ref="C36:E36"/>
    <mergeCell ref="C35:E35"/>
    <mergeCell ref="C30:E30"/>
    <mergeCell ref="C32:E32"/>
    <mergeCell ref="C31:E31"/>
    <mergeCell ref="B2:B3"/>
    <mergeCell ref="C13:E13"/>
    <mergeCell ref="C8:E8"/>
    <mergeCell ref="C10:E10"/>
    <mergeCell ref="C18:E18"/>
    <mergeCell ref="C7:E7"/>
    <mergeCell ref="C2:E3"/>
    <mergeCell ref="C6:E6"/>
    <mergeCell ref="C5:E5"/>
    <mergeCell ref="C37:E37"/>
    <mergeCell ref="C29:E29"/>
    <mergeCell ref="C11:E11"/>
    <mergeCell ref="C28:E28"/>
    <mergeCell ref="C12:E12"/>
    <mergeCell ref="C25:E25"/>
    <mergeCell ref="C23:E23"/>
    <mergeCell ref="C26:E26"/>
    <mergeCell ref="C19:E19"/>
    <mergeCell ref="C24:E24"/>
    <mergeCell ref="B1:I1"/>
    <mergeCell ref="B21:B22"/>
    <mergeCell ref="H21:I21"/>
    <mergeCell ref="C21:E22"/>
    <mergeCell ref="C9:E9"/>
    <mergeCell ref="H2:I2"/>
    <mergeCell ref="C4:E4"/>
    <mergeCell ref="C14:E14"/>
    <mergeCell ref="C16:E16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2.140625" style="42" customWidth="1"/>
    <col min="2" max="2" width="1.7109375" style="42" customWidth="1"/>
    <col min="3" max="3" width="10.28125" style="131" customWidth="1"/>
    <col min="4" max="4" width="1.7109375" style="132" customWidth="1"/>
    <col min="5" max="5" width="13.7109375" style="42" customWidth="1"/>
    <col min="6" max="6" width="1.7109375" style="42" customWidth="1"/>
    <col min="7" max="7" width="14.28125" style="42" customWidth="1"/>
    <col min="8" max="8" width="3.00390625" style="42" customWidth="1"/>
    <col min="9" max="11" width="9.140625" style="42" customWidth="1"/>
    <col min="12" max="12" width="9.57421875" style="42" bestFit="1" customWidth="1"/>
    <col min="13" max="16384" width="9.140625" style="42" customWidth="1"/>
  </cols>
  <sheetData>
    <row r="1" spans="1:8" ht="15">
      <c r="A1" s="520" t="str">
        <f>ОПР!A1:G1</f>
        <v>"ТОПЛОФИКАЦИЯ - ПЛЕВЕН" ЕАД</v>
      </c>
      <c r="B1" s="520"/>
      <c r="C1" s="520"/>
      <c r="D1" s="520"/>
      <c r="E1" s="520"/>
      <c r="F1" s="520"/>
      <c r="G1" s="520"/>
      <c r="H1" s="41"/>
    </row>
    <row r="2" spans="1:8" s="125" customFormat="1" ht="15">
      <c r="A2" s="522" t="s">
        <v>741</v>
      </c>
      <c r="B2" s="522"/>
      <c r="C2" s="522"/>
      <c r="D2" s="522"/>
      <c r="E2" s="522"/>
      <c r="F2" s="522"/>
      <c r="G2" s="522"/>
      <c r="H2" s="76"/>
    </row>
    <row r="3" spans="1:8" ht="15" customHeight="1">
      <c r="A3" s="77"/>
      <c r="B3" s="77"/>
      <c r="C3" s="78"/>
      <c r="D3" s="77"/>
      <c r="E3" s="79"/>
      <c r="F3" s="77"/>
      <c r="G3" s="79"/>
      <c r="H3" s="41"/>
    </row>
    <row r="4" spans="1:8" s="126" customFormat="1" ht="15">
      <c r="A4" s="80"/>
      <c r="B4" s="80"/>
      <c r="C4" s="300" t="s">
        <v>0</v>
      </c>
      <c r="D4" s="82"/>
      <c r="E4" s="104" t="s">
        <v>742</v>
      </c>
      <c r="F4" s="81"/>
      <c r="G4" s="104" t="s">
        <v>718</v>
      </c>
      <c r="H4" s="141"/>
    </row>
    <row r="5" spans="1:8" ht="18" customHeight="1">
      <c r="A5" s="31" t="s">
        <v>5</v>
      </c>
      <c r="B5" s="31"/>
      <c r="C5" s="78"/>
      <c r="D5" s="77"/>
      <c r="E5" s="83" t="s">
        <v>16</v>
      </c>
      <c r="F5" s="84"/>
      <c r="G5" s="83" t="s">
        <v>16</v>
      </c>
      <c r="H5" s="41"/>
    </row>
    <row r="6" spans="1:8" ht="16.5" customHeight="1">
      <c r="A6" s="374" t="s">
        <v>496</v>
      </c>
      <c r="B6" s="85"/>
      <c r="C6" s="78"/>
      <c r="D6" s="77"/>
      <c r="E6" s="83"/>
      <c r="F6" s="84"/>
      <c r="G6" s="83"/>
      <c r="H6" s="41"/>
    </row>
    <row r="7" spans="1:8" ht="9" customHeight="1">
      <c r="A7" s="31"/>
      <c r="B7" s="31"/>
      <c r="C7" s="86"/>
      <c r="D7" s="38"/>
      <c r="E7" s="41"/>
      <c r="F7" s="52"/>
      <c r="G7" s="41"/>
      <c r="H7" s="41"/>
    </row>
    <row r="8" spans="1:8" ht="15.75" customHeight="1">
      <c r="A8" s="384" t="s">
        <v>490</v>
      </c>
      <c r="B8" s="386"/>
      <c r="C8" s="87">
        <v>1</v>
      </c>
      <c r="D8" s="44"/>
      <c r="E8" s="495">
        <v>35559</v>
      </c>
      <c r="F8" s="89"/>
      <c r="G8" s="495">
        <v>38955</v>
      </c>
      <c r="H8" s="41"/>
    </row>
    <row r="9" spans="1:8" ht="15">
      <c r="A9" s="384" t="s">
        <v>19</v>
      </c>
      <c r="B9" s="386"/>
      <c r="C9" s="87">
        <v>2</v>
      </c>
      <c r="D9" s="44"/>
      <c r="E9" s="495">
        <v>50</v>
      </c>
      <c r="F9" s="89"/>
      <c r="G9" s="495">
        <v>1</v>
      </c>
      <c r="H9" s="41"/>
    </row>
    <row r="10" spans="1:8" ht="15">
      <c r="A10" s="384" t="s">
        <v>62</v>
      </c>
      <c r="B10" s="386"/>
      <c r="C10" s="471">
        <v>3</v>
      </c>
      <c r="D10" s="44"/>
      <c r="E10" s="495">
        <v>3021</v>
      </c>
      <c r="F10" s="89"/>
      <c r="G10" s="495">
        <v>2408</v>
      </c>
      <c r="H10" s="41"/>
    </row>
    <row r="11" spans="1:8" ht="15">
      <c r="A11" s="384" t="s">
        <v>487</v>
      </c>
      <c r="B11" s="386"/>
      <c r="C11" s="87">
        <v>4</v>
      </c>
      <c r="D11" s="44"/>
      <c r="E11" s="495">
        <v>6024</v>
      </c>
      <c r="F11" s="89"/>
      <c r="G11" s="495">
        <v>7404</v>
      </c>
      <c r="H11" s="41"/>
    </row>
    <row r="12" spans="1:8" ht="15">
      <c r="A12" s="384" t="s">
        <v>674</v>
      </c>
      <c r="B12" s="386"/>
      <c r="C12" s="87">
        <v>5</v>
      </c>
      <c r="D12" s="44"/>
      <c r="E12" s="495">
        <v>58222</v>
      </c>
      <c r="F12" s="89"/>
      <c r="G12" s="495">
        <v>58222</v>
      </c>
      <c r="H12" s="41"/>
    </row>
    <row r="13" spans="1:8" ht="8.25" customHeight="1">
      <c r="A13" s="31"/>
      <c r="B13" s="31"/>
      <c r="C13" s="56"/>
      <c r="D13" s="44"/>
      <c r="E13" s="90"/>
      <c r="F13" s="89"/>
      <c r="G13" s="90"/>
      <c r="H13" s="41"/>
    </row>
    <row r="14" spans="1:8" ht="15.75">
      <c r="A14" s="375" t="s">
        <v>486</v>
      </c>
      <c r="B14" s="32"/>
      <c r="C14" s="369"/>
      <c r="D14" s="38"/>
      <c r="E14" s="101">
        <f>E8+E9+E10+E11+E12</f>
        <v>102876</v>
      </c>
      <c r="F14" s="52"/>
      <c r="G14" s="101">
        <f>G8+G9+G10+G11+G12</f>
        <v>106990</v>
      </c>
      <c r="H14" s="41"/>
    </row>
    <row r="15" spans="1:8" ht="16.5" customHeight="1">
      <c r="A15" s="31" t="s">
        <v>31</v>
      </c>
      <c r="B15" s="31"/>
      <c r="C15" s="86"/>
      <c r="D15" s="38"/>
      <c r="E15" s="92"/>
      <c r="F15" s="92"/>
      <c r="G15" s="92"/>
      <c r="H15" s="41"/>
    </row>
    <row r="16" spans="1:8" ht="15">
      <c r="A16" s="384" t="s">
        <v>20</v>
      </c>
      <c r="B16" s="386"/>
      <c r="C16" s="87">
        <v>6</v>
      </c>
      <c r="D16" s="44"/>
      <c r="E16" s="495">
        <v>2299</v>
      </c>
      <c r="F16" s="89"/>
      <c r="G16" s="495">
        <v>2350</v>
      </c>
      <c r="H16" s="41"/>
    </row>
    <row r="17" spans="1:8" ht="15" customHeight="1" hidden="1">
      <c r="A17" s="43"/>
      <c r="B17" s="386"/>
      <c r="C17" s="56">
        <v>7</v>
      </c>
      <c r="D17" s="44"/>
      <c r="E17" s="496"/>
      <c r="F17" s="89"/>
      <c r="G17" s="496"/>
      <c r="H17" s="41"/>
    </row>
    <row r="18" spans="1:8" ht="15">
      <c r="A18" s="384" t="s">
        <v>488</v>
      </c>
      <c r="B18" s="386"/>
      <c r="C18" s="492">
        <v>7</v>
      </c>
      <c r="D18" s="44"/>
      <c r="E18" s="495">
        <v>23897</v>
      </c>
      <c r="F18" s="89"/>
      <c r="G18" s="495">
        <v>27166</v>
      </c>
      <c r="H18" s="41"/>
    </row>
    <row r="19" spans="1:8" ht="15">
      <c r="A19" s="384" t="s">
        <v>29</v>
      </c>
      <c r="B19" s="386"/>
      <c r="C19" s="87">
        <v>8</v>
      </c>
      <c r="D19" s="44"/>
      <c r="E19" s="495">
        <v>59</v>
      </c>
      <c r="F19" s="89"/>
      <c r="G19" s="495">
        <v>291</v>
      </c>
      <c r="H19" s="41"/>
    </row>
    <row r="20" spans="1:8" ht="8.25" customHeight="1">
      <c r="A20" s="37"/>
      <c r="B20" s="37"/>
      <c r="C20" s="56"/>
      <c r="D20" s="44"/>
      <c r="E20" s="90"/>
      <c r="F20" s="88"/>
      <c r="G20" s="90"/>
      <c r="H20" s="41"/>
    </row>
    <row r="21" spans="1:8" ht="16.5" customHeight="1">
      <c r="A21" s="375" t="s">
        <v>485</v>
      </c>
      <c r="B21" s="32"/>
      <c r="C21" s="369"/>
      <c r="D21" s="38"/>
      <c r="E21" s="101">
        <f>+E16+E18+E19</f>
        <v>26255</v>
      </c>
      <c r="F21" s="52"/>
      <c r="G21" s="101">
        <f>+G16+G18+G19</f>
        <v>29807</v>
      </c>
      <c r="H21" s="41"/>
    </row>
    <row r="22" spans="1:8" ht="8.25" customHeight="1">
      <c r="A22" s="43"/>
      <c r="B22" s="43"/>
      <c r="C22" s="56"/>
      <c r="D22" s="44"/>
      <c r="E22" s="91"/>
      <c r="F22" s="89"/>
      <c r="G22" s="91"/>
      <c r="H22" s="41"/>
    </row>
    <row r="23" spans="1:8" ht="16.5" customHeight="1" thickBot="1">
      <c r="A23" s="376" t="s">
        <v>489</v>
      </c>
      <c r="B23" s="31"/>
      <c r="C23" s="368"/>
      <c r="D23" s="38"/>
      <c r="E23" s="368">
        <f>E14+E21</f>
        <v>129131</v>
      </c>
      <c r="F23" s="92"/>
      <c r="G23" s="368">
        <f>G14+G21</f>
        <v>136797</v>
      </c>
      <c r="H23" s="41"/>
    </row>
    <row r="24" spans="1:8" ht="15.75" thickTop="1">
      <c r="A24" s="31" t="s">
        <v>6</v>
      </c>
      <c r="B24" s="31"/>
      <c r="C24" s="78"/>
      <c r="D24" s="77"/>
      <c r="E24" s="83" t="s">
        <v>16</v>
      </c>
      <c r="F24" s="84"/>
      <c r="G24" s="83" t="s">
        <v>16</v>
      </c>
      <c r="H24" s="142"/>
    </row>
    <row r="25" spans="1:8" ht="15" customHeight="1">
      <c r="A25" s="373" t="s">
        <v>21</v>
      </c>
      <c r="B25" s="371"/>
      <c r="C25" s="92" t="s">
        <v>30</v>
      </c>
      <c r="D25" s="372"/>
      <c r="E25" s="92"/>
      <c r="F25" s="93"/>
      <c r="G25" s="92"/>
      <c r="H25" s="41"/>
    </row>
    <row r="26" spans="1:8" ht="15">
      <c r="A26" s="370" t="s">
        <v>22</v>
      </c>
      <c r="B26" s="31"/>
      <c r="C26" s="94"/>
      <c r="D26" s="44"/>
      <c r="E26" s="497">
        <f>SUM(E27:E27)</f>
        <v>19842</v>
      </c>
      <c r="F26" s="93"/>
      <c r="G26" s="497">
        <f>SUM(G27:G27)</f>
        <v>19842</v>
      </c>
      <c r="H26" s="41"/>
    </row>
    <row r="27" spans="1:8" ht="15">
      <c r="A27" s="55" t="s">
        <v>64</v>
      </c>
      <c r="B27" s="31"/>
      <c r="C27" s="472">
        <v>9</v>
      </c>
      <c r="D27" s="38"/>
      <c r="E27" s="498">
        <v>19842</v>
      </c>
      <c r="F27" s="93"/>
      <c r="G27" s="498">
        <v>19842</v>
      </c>
      <c r="H27" s="41"/>
    </row>
    <row r="28" spans="1:8" ht="15">
      <c r="A28" s="370" t="s">
        <v>25</v>
      </c>
      <c r="B28" s="31"/>
      <c r="C28" s="471">
        <v>10</v>
      </c>
      <c r="D28" s="44"/>
      <c r="E28" s="497">
        <v>27319</v>
      </c>
      <c r="F28" s="93"/>
      <c r="G28" s="497">
        <v>27323</v>
      </c>
      <c r="H28" s="41"/>
    </row>
    <row r="29" spans="1:8" ht="15">
      <c r="A29" s="370" t="s">
        <v>26</v>
      </c>
      <c r="B29" s="31"/>
      <c r="C29" s="468">
        <v>11</v>
      </c>
      <c r="D29" s="44"/>
      <c r="E29" s="497">
        <f>SUM(E30:E31)</f>
        <v>-7105</v>
      </c>
      <c r="F29" s="93"/>
      <c r="G29" s="95">
        <f>SUM(G30:G31)</f>
        <v>-8747</v>
      </c>
      <c r="H29" s="41"/>
    </row>
    <row r="30" spans="1:8" ht="15">
      <c r="A30" s="99" t="s">
        <v>162</v>
      </c>
      <c r="B30" s="99"/>
      <c r="C30" s="56"/>
      <c r="D30" s="44"/>
      <c r="E30" s="499">
        <v>-8741</v>
      </c>
      <c r="F30" s="98"/>
      <c r="G30" s="499">
        <v>-936</v>
      </c>
      <c r="H30" s="41" t="s">
        <v>30</v>
      </c>
    </row>
    <row r="31" spans="1:8" ht="15">
      <c r="A31" s="43" t="s">
        <v>63</v>
      </c>
      <c r="B31" s="43"/>
      <c r="C31" s="56"/>
      <c r="D31" s="44"/>
      <c r="E31" s="498">
        <v>1636</v>
      </c>
      <c r="F31" s="96"/>
      <c r="G31" s="498">
        <v>-7811</v>
      </c>
      <c r="H31" s="41"/>
    </row>
    <row r="32" spans="1:8" ht="8.25" customHeight="1">
      <c r="A32" s="43"/>
      <c r="B32" s="43"/>
      <c r="C32" s="56"/>
      <c r="D32" s="44"/>
      <c r="E32" s="93"/>
      <c r="F32" s="93"/>
      <c r="G32" s="93"/>
      <c r="H32" s="41"/>
    </row>
    <row r="33" spans="1:8" ht="16.5" customHeight="1">
      <c r="A33" s="377" t="s">
        <v>21</v>
      </c>
      <c r="B33" s="31"/>
      <c r="C33" s="378" t="s">
        <v>30</v>
      </c>
      <c r="D33" s="38"/>
      <c r="E33" s="378">
        <f>E26+E28+E29</f>
        <v>40056</v>
      </c>
      <c r="F33" s="93"/>
      <c r="G33" s="378">
        <f>G26+G28+G29</f>
        <v>38418</v>
      </c>
      <c r="H33" s="41"/>
    </row>
    <row r="34" spans="1:8" ht="15">
      <c r="A34" s="384" t="s">
        <v>66</v>
      </c>
      <c r="B34" s="43"/>
      <c r="C34" s="493">
        <v>12</v>
      </c>
      <c r="D34" s="44"/>
      <c r="E34" s="500">
        <v>36912</v>
      </c>
      <c r="F34" s="96"/>
      <c r="G34" s="500">
        <v>30118</v>
      </c>
      <c r="H34" s="41"/>
    </row>
    <row r="35" spans="1:8" ht="9" customHeight="1">
      <c r="A35" s="43"/>
      <c r="B35" s="43"/>
      <c r="C35" s="100"/>
      <c r="D35" s="44"/>
      <c r="E35" s="498"/>
      <c r="F35" s="96"/>
      <c r="G35" s="96"/>
      <c r="H35" s="41"/>
    </row>
    <row r="36" spans="1:8" ht="15">
      <c r="A36" s="384" t="s">
        <v>495</v>
      </c>
      <c r="B36" s="43"/>
      <c r="C36" s="493">
        <v>13</v>
      </c>
      <c r="D36" s="44"/>
      <c r="E36" s="500">
        <v>21</v>
      </c>
      <c r="F36" s="96"/>
      <c r="G36" s="500">
        <v>47</v>
      </c>
      <c r="H36" s="41"/>
    </row>
    <row r="37" spans="1:8" ht="14.25" customHeight="1">
      <c r="A37" s="43" t="s">
        <v>236</v>
      </c>
      <c r="B37" s="31"/>
      <c r="C37" s="100"/>
      <c r="D37" s="44"/>
      <c r="E37" s="93"/>
      <c r="F37" s="93"/>
      <c r="G37" s="93"/>
      <c r="H37" s="41"/>
    </row>
    <row r="38" spans="1:8" ht="16.5" customHeight="1">
      <c r="A38" s="378" t="s">
        <v>45</v>
      </c>
      <c r="B38" s="31"/>
      <c r="C38" s="378"/>
      <c r="D38" s="38"/>
      <c r="E38" s="378">
        <f>E34+E36+E37</f>
        <v>36933</v>
      </c>
      <c r="F38" s="93"/>
      <c r="G38" s="378">
        <f>G34+G36+G37</f>
        <v>30165</v>
      </c>
      <c r="H38" s="41"/>
    </row>
    <row r="39" spans="1:8" ht="7.5" customHeight="1">
      <c r="A39" s="31"/>
      <c r="B39" s="31"/>
      <c r="C39" s="56"/>
      <c r="D39" s="44"/>
      <c r="E39" s="103"/>
      <c r="F39" s="102"/>
      <c r="G39" s="103"/>
      <c r="H39" s="41"/>
    </row>
    <row r="40" spans="1:8" ht="16.5" customHeight="1">
      <c r="A40" s="92" t="s">
        <v>46</v>
      </c>
      <c r="B40" s="31"/>
      <c r="C40" s="92"/>
      <c r="D40" s="38"/>
      <c r="E40" s="92"/>
      <c r="F40" s="93"/>
      <c r="G40" s="92"/>
      <c r="H40" s="41"/>
    </row>
    <row r="41" spans="1:8" ht="15" customHeight="1">
      <c r="A41" s="384" t="s">
        <v>692</v>
      </c>
      <c r="B41" s="43"/>
      <c r="C41" s="493">
        <v>14</v>
      </c>
      <c r="D41" s="44"/>
      <c r="E41" s="500">
        <v>49969</v>
      </c>
      <c r="F41" s="96"/>
      <c r="G41" s="500">
        <v>67154</v>
      </c>
      <c r="H41" s="41"/>
    </row>
    <row r="42" spans="1:8" ht="9" customHeight="1">
      <c r="A42" s="43"/>
      <c r="B42" s="43"/>
      <c r="C42" s="494"/>
      <c r="D42" s="44"/>
      <c r="E42" s="499"/>
      <c r="F42" s="98"/>
      <c r="G42" s="97"/>
      <c r="H42" s="41"/>
    </row>
    <row r="43" spans="1:8" ht="15">
      <c r="A43" s="384" t="s">
        <v>32</v>
      </c>
      <c r="B43" s="43"/>
      <c r="C43" s="493">
        <v>15</v>
      </c>
      <c r="D43" s="44"/>
      <c r="E43" s="500">
        <v>1556</v>
      </c>
      <c r="F43" s="96"/>
      <c r="G43" s="500">
        <v>455</v>
      </c>
      <c r="H43" s="41"/>
    </row>
    <row r="44" spans="1:8" ht="15">
      <c r="A44" s="384" t="s">
        <v>69</v>
      </c>
      <c r="B44" s="43"/>
      <c r="C44" s="493">
        <v>16</v>
      </c>
      <c r="D44" s="44"/>
      <c r="E44" s="500">
        <v>281</v>
      </c>
      <c r="F44" s="96"/>
      <c r="G44" s="385">
        <v>269</v>
      </c>
      <c r="H44" s="41"/>
    </row>
    <row r="45" spans="1:8" ht="9" customHeight="1">
      <c r="A45" s="43"/>
      <c r="B45" s="43"/>
      <c r="C45" s="494"/>
      <c r="D45" s="44"/>
      <c r="E45" s="499"/>
      <c r="F45" s="98"/>
      <c r="G45" s="97"/>
      <c r="H45" s="41"/>
    </row>
    <row r="46" spans="1:8" ht="15">
      <c r="A46" s="384" t="s">
        <v>661</v>
      </c>
      <c r="B46" s="43"/>
      <c r="C46" s="493">
        <v>17</v>
      </c>
      <c r="D46" s="44"/>
      <c r="E46" s="500">
        <v>336</v>
      </c>
      <c r="F46" s="96"/>
      <c r="G46" s="385">
        <v>336</v>
      </c>
      <c r="H46" s="41"/>
    </row>
    <row r="47" spans="1:8" ht="16.5" customHeight="1">
      <c r="A47" s="378" t="s">
        <v>46</v>
      </c>
      <c r="B47" s="31"/>
      <c r="C47" s="378"/>
      <c r="D47" s="38"/>
      <c r="E47" s="378">
        <f>+E41+E43+E44+E46</f>
        <v>52142</v>
      </c>
      <c r="F47" s="93"/>
      <c r="G47" s="378">
        <f>+G41+G43+G44+G46</f>
        <v>68214</v>
      </c>
      <c r="H47" s="41"/>
    </row>
    <row r="48" spans="1:8" ht="9" customHeight="1">
      <c r="A48" s="43"/>
      <c r="B48" s="43"/>
      <c r="C48" s="56"/>
      <c r="D48" s="44"/>
      <c r="E48" s="379"/>
      <c r="F48" s="98"/>
      <c r="G48" s="379"/>
      <c r="H48" s="41"/>
    </row>
    <row r="49" spans="1:8" ht="16.5" customHeight="1" thickBot="1">
      <c r="A49" s="368" t="s">
        <v>71</v>
      </c>
      <c r="B49" s="31"/>
      <c r="C49" s="368"/>
      <c r="D49" s="38"/>
      <c r="E49" s="368">
        <f>E33+E38+E47</f>
        <v>129131</v>
      </c>
      <c r="F49" s="92"/>
      <c r="G49" s="368">
        <f>G33+G38+G47</f>
        <v>136797</v>
      </c>
      <c r="H49" s="41"/>
    </row>
    <row r="50" spans="1:8" ht="15.75" thickTop="1">
      <c r="A50" s="525">
        <f>IF(AND(E$23=E$49,G$23=G$49),"","Разлика между актива и пасива!")</f>
      </c>
      <c r="B50" s="525"/>
      <c r="C50" s="525"/>
      <c r="D50" s="60"/>
      <c r="E50" s="394">
        <f>IF(E$23=E$49,"",E23-E49)</f>
      </c>
      <c r="F50" s="128"/>
      <c r="G50" s="394">
        <f>IF(G$23=G$49,"",G23-G49)</f>
      </c>
      <c r="H50" s="61"/>
    </row>
    <row r="51" spans="1:8" ht="15">
      <c r="A51" s="526"/>
      <c r="B51" s="526"/>
      <c r="C51" s="526"/>
      <c r="D51" s="526"/>
      <c r="E51" s="526"/>
      <c r="F51" s="526"/>
      <c r="G51" s="526"/>
      <c r="H51" s="61"/>
    </row>
    <row r="52" spans="1:8" ht="15">
      <c r="A52" s="519">
        <f>IF(AND(E$23=E$49,G$23=G$49),"","Сума на актива:")</f>
      </c>
      <c r="B52" s="519"/>
      <c r="C52" s="519"/>
      <c r="D52" s="420"/>
      <c r="E52" s="421">
        <f>IF(E$23=E$49,"",E23)</f>
      </c>
      <c r="F52" s="420"/>
      <c r="G52" s="421">
        <f>IF(G$23=G$49,"",G23)</f>
      </c>
      <c r="H52" s="61"/>
    </row>
    <row r="53" spans="1:8" ht="15">
      <c r="A53" s="211" t="str">
        <f>НАЧАЛО!$A$44</f>
        <v>Представляващ:</v>
      </c>
      <c r="B53" s="72"/>
      <c r="C53" s="127"/>
      <c r="D53" s="60"/>
      <c r="E53" s="61"/>
      <c r="F53" s="61"/>
      <c r="G53" s="61"/>
      <c r="H53" s="61"/>
    </row>
    <row r="54" spans="1:8" ht="15">
      <c r="A54" s="130" t="str">
        <f>НАЧАЛО!$A$46</f>
        <v>инж. ЙОРДАН ВАСИЛЕВ ВАСИЛЕВ</v>
      </c>
      <c r="B54" s="66"/>
      <c r="C54" s="127"/>
      <c r="D54" s="60"/>
      <c r="E54" s="61"/>
      <c r="F54" s="61"/>
      <c r="G54" s="61"/>
      <c r="H54" s="61"/>
    </row>
    <row r="55" spans="1:8" ht="15">
      <c r="A55" s="62"/>
      <c r="B55" s="69"/>
      <c r="C55" s="127"/>
      <c r="D55" s="60"/>
      <c r="E55" s="61"/>
      <c r="F55" s="61"/>
      <c r="G55" s="61"/>
      <c r="H55" s="61"/>
    </row>
    <row r="56" spans="1:8" ht="15">
      <c r="A56" s="66" t="str">
        <f>НАЧАЛО!$F$44</f>
        <v>Съставител:</v>
      </c>
      <c r="B56" s="69"/>
      <c r="C56" s="127"/>
      <c r="D56" s="60"/>
      <c r="E56" s="61"/>
      <c r="F56" s="61"/>
      <c r="G56" s="61"/>
      <c r="H56" s="61"/>
    </row>
    <row r="57" spans="1:8" ht="15">
      <c r="A57" s="73" t="str">
        <f>НАЧАЛО!$F$46</f>
        <v>БЕРТА СИМЕОНОВА ЦАНКОВА</v>
      </c>
      <c r="B57" s="66"/>
      <c r="C57" s="127"/>
      <c r="D57" s="60"/>
      <c r="E57" s="61"/>
      <c r="F57" s="61"/>
      <c r="G57" s="61"/>
      <c r="H57" s="61"/>
    </row>
    <row r="58" spans="1:8" ht="15">
      <c r="A58" s="66"/>
      <c r="B58" s="129"/>
      <c r="C58" s="127"/>
      <c r="D58" s="60"/>
      <c r="E58" s="61"/>
      <c r="F58" s="61"/>
      <c r="G58" s="61"/>
      <c r="H58" s="61"/>
    </row>
    <row r="59" spans="1:8" ht="15">
      <c r="A59" s="73"/>
      <c r="B59" s="61"/>
      <c r="C59" s="127"/>
      <c r="D59" s="60"/>
      <c r="E59" s="61"/>
      <c r="F59" s="61"/>
      <c r="G59" s="61"/>
      <c r="H59" s="61"/>
    </row>
    <row r="60" spans="1:8" ht="15">
      <c r="A60" s="130"/>
      <c r="B60" s="61"/>
      <c r="C60" s="127"/>
      <c r="D60" s="60"/>
      <c r="E60" s="61"/>
      <c r="F60" s="61"/>
      <c r="G60" s="61"/>
      <c r="H60" s="61"/>
    </row>
    <row r="61" spans="1:8" ht="9" customHeight="1">
      <c r="A61" s="70"/>
      <c r="B61" s="61"/>
      <c r="C61" s="127"/>
      <c r="D61" s="60"/>
      <c r="E61" s="61"/>
      <c r="F61" s="61"/>
      <c r="G61" s="61"/>
      <c r="H61" s="61"/>
    </row>
    <row r="62" spans="1:8" ht="15">
      <c r="A62" s="130"/>
      <c r="B62" s="72"/>
      <c r="C62" s="127"/>
      <c r="D62" s="60"/>
      <c r="E62" s="61"/>
      <c r="F62" s="61"/>
      <c r="G62" s="61"/>
      <c r="H62" s="61"/>
    </row>
    <row r="67" spans="1:4" ht="15">
      <c r="A67" s="133"/>
      <c r="B67" s="133"/>
      <c r="C67" s="134"/>
      <c r="D67" s="42"/>
    </row>
    <row r="69" spans="1:4" ht="15">
      <c r="A69" s="133"/>
      <c r="B69" s="133"/>
      <c r="C69" s="134"/>
      <c r="D69" s="42"/>
    </row>
    <row r="70" spans="1:4" ht="15">
      <c r="A70" s="133"/>
      <c r="B70" s="133"/>
      <c r="C70" s="134"/>
      <c r="D70" s="42"/>
    </row>
    <row r="71" spans="1:2" ht="15">
      <c r="A71" s="134"/>
      <c r="B71" s="134"/>
    </row>
    <row r="73" spans="1:2" ht="15">
      <c r="A73" s="135"/>
      <c r="B73" s="135"/>
    </row>
    <row r="74" spans="1:2" ht="15">
      <c r="A74" s="136"/>
      <c r="B74" s="136"/>
    </row>
    <row r="75" spans="1:2" ht="15">
      <c r="A75" s="136"/>
      <c r="B75" s="136"/>
    </row>
    <row r="76" spans="1:2" ht="15">
      <c r="A76" s="135"/>
      <c r="B76" s="135"/>
    </row>
    <row r="77" spans="1:2" ht="15">
      <c r="A77" s="137"/>
      <c r="B77" s="137"/>
    </row>
    <row r="80" spans="1:2" ht="15">
      <c r="A80" s="138"/>
      <c r="B80" s="138"/>
    </row>
    <row r="81" spans="1:2" ht="15">
      <c r="A81" s="138"/>
      <c r="B81" s="138"/>
    </row>
    <row r="82" spans="1:2" ht="15">
      <c r="A82" s="139"/>
      <c r="B82" s="139"/>
    </row>
  </sheetData>
  <sheetProtection/>
  <mergeCells count="5">
    <mergeCell ref="A52:C52"/>
    <mergeCell ref="A1:G1"/>
    <mergeCell ref="A2:G2"/>
    <mergeCell ref="A51:G51"/>
    <mergeCell ref="A50:C50"/>
  </mergeCells>
  <printOptions horizontalCentered="1"/>
  <pageMargins left="0.7480314960629921" right="0.7480314960629921" top="0.8661417322834646" bottom="0" header="0.3937007874015748" footer="0.7874015748031497"/>
  <pageSetup firstPageNumber="1" useFirstPageNumber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1.00390625" style="148" customWidth="1"/>
    <col min="2" max="2" width="1.7109375" style="144" customWidth="1"/>
    <col min="3" max="3" width="12.140625" style="145" customWidth="1"/>
    <col min="4" max="4" width="1.7109375" style="146" customWidth="1"/>
    <col min="5" max="5" width="12.140625" style="145" customWidth="1"/>
    <col min="6" max="6" width="4.28125" style="143" customWidth="1"/>
    <col min="7" max="16384" width="9.140625" style="143" customWidth="1"/>
  </cols>
  <sheetData>
    <row r="1" spans="1:6" ht="15">
      <c r="A1" s="527" t="str">
        <f>ОПР!A1:G1</f>
        <v>"ТОПЛОФИКАЦИЯ - ПЛЕВЕН" ЕАД</v>
      </c>
      <c r="B1" s="527"/>
      <c r="C1" s="527"/>
      <c r="D1" s="527"/>
      <c r="E1" s="527"/>
      <c r="F1"/>
    </row>
    <row r="2" spans="1:6" ht="17.25" customHeight="1">
      <c r="A2" s="528" t="s">
        <v>743</v>
      </c>
      <c r="B2" s="528"/>
      <c r="C2" s="528"/>
      <c r="D2" s="528"/>
      <c r="E2" s="528"/>
      <c r="F2"/>
    </row>
    <row r="3" spans="1:6" ht="27" customHeight="1">
      <c r="A3" s="118"/>
      <c r="B3" s="119"/>
      <c r="C3" s="104" t="s">
        <v>742</v>
      </c>
      <c r="D3" s="120"/>
      <c r="E3" s="104" t="s">
        <v>718</v>
      </c>
      <c r="F3"/>
    </row>
    <row r="4" spans="1:6" ht="15">
      <c r="A4" s="118"/>
      <c r="B4" s="119"/>
      <c r="C4" s="121" t="s">
        <v>16</v>
      </c>
      <c r="D4" s="122"/>
      <c r="E4" s="121" t="s">
        <v>16</v>
      </c>
      <c r="F4"/>
    </row>
    <row r="5" spans="1:6" ht="15">
      <c r="A5" s="118"/>
      <c r="B5" s="119"/>
      <c r="C5" s="121"/>
      <c r="D5" s="122"/>
      <c r="E5" s="121"/>
      <c r="F5"/>
    </row>
    <row r="6" spans="1:6" ht="15">
      <c r="A6" s="105" t="s">
        <v>76</v>
      </c>
      <c r="B6" s="106"/>
      <c r="C6" s="107"/>
      <c r="D6" s="108"/>
      <c r="E6" s="107"/>
      <c r="F6"/>
    </row>
    <row r="7" spans="1:6" ht="15">
      <c r="A7" s="123" t="s">
        <v>8</v>
      </c>
      <c r="B7" s="106"/>
      <c r="C7" s="107">
        <v>72401</v>
      </c>
      <c r="D7" s="108"/>
      <c r="E7" s="107">
        <v>82867</v>
      </c>
      <c r="F7"/>
    </row>
    <row r="8" spans="1:6" ht="15">
      <c r="A8" s="123" t="s">
        <v>9</v>
      </c>
      <c r="B8" s="106"/>
      <c r="C8" s="107">
        <v>-60532</v>
      </c>
      <c r="D8" s="108"/>
      <c r="E8" s="107">
        <v>-72404</v>
      </c>
      <c r="F8"/>
    </row>
    <row r="9" spans="1:6" ht="15">
      <c r="A9" s="123" t="s">
        <v>10</v>
      </c>
      <c r="B9" s="106"/>
      <c r="C9" s="107">
        <v>-2610</v>
      </c>
      <c r="D9" s="108"/>
      <c r="E9" s="107">
        <v>-2207</v>
      </c>
      <c r="F9"/>
    </row>
    <row r="10" spans="1:6" ht="15">
      <c r="A10" s="123" t="s">
        <v>36</v>
      </c>
      <c r="B10" s="109"/>
      <c r="C10" s="107"/>
      <c r="D10" s="108"/>
      <c r="E10" s="107"/>
      <c r="F10"/>
    </row>
    <row r="11" spans="1:6" ht="15">
      <c r="A11" s="123" t="s">
        <v>13</v>
      </c>
      <c r="B11" s="106"/>
      <c r="C11" s="107">
        <v>-1174</v>
      </c>
      <c r="D11" s="108"/>
      <c r="E11" s="107">
        <v>-815</v>
      </c>
      <c r="F11"/>
    </row>
    <row r="12" spans="1:6" ht="15.75" thickBot="1">
      <c r="A12" s="110" t="s">
        <v>77</v>
      </c>
      <c r="B12" s="109"/>
      <c r="C12" s="111">
        <f>SUM(C7:C11)</f>
        <v>8085</v>
      </c>
      <c r="D12" s="112"/>
      <c r="E12" s="111">
        <f>SUM(E7:E11)</f>
        <v>7441</v>
      </c>
      <c r="F12"/>
    </row>
    <row r="13" spans="1:6" ht="15.75" thickTop="1">
      <c r="A13" s="105" t="s">
        <v>78</v>
      </c>
      <c r="B13" s="106"/>
      <c r="C13" s="107"/>
      <c r="D13" s="108"/>
      <c r="E13" s="107"/>
      <c r="F13"/>
    </row>
    <row r="14" spans="1:6" ht="15">
      <c r="A14" s="123" t="s">
        <v>11</v>
      </c>
      <c r="B14" s="106"/>
      <c r="C14" s="107">
        <v>-702</v>
      </c>
      <c r="D14" s="108"/>
      <c r="E14" s="107">
        <v>-2</v>
      </c>
      <c r="F14"/>
    </row>
    <row r="15" spans="1:6" ht="15">
      <c r="A15" s="123" t="s">
        <v>14</v>
      </c>
      <c r="B15" s="106"/>
      <c r="C15" s="107"/>
      <c r="D15" s="108"/>
      <c r="E15" s="107"/>
      <c r="F15"/>
    </row>
    <row r="16" spans="1:6" ht="15.75" thickBot="1">
      <c r="A16" s="110" t="s">
        <v>80</v>
      </c>
      <c r="B16" s="106"/>
      <c r="C16" s="111">
        <f>SUM(C14:C15)</f>
        <v>-702</v>
      </c>
      <c r="D16" s="112"/>
      <c r="E16" s="111">
        <f>SUM(E14:E15)</f>
        <v>-2</v>
      </c>
      <c r="F16"/>
    </row>
    <row r="17" spans="1:6" ht="15.75" thickTop="1">
      <c r="A17" s="123"/>
      <c r="B17" s="106"/>
      <c r="C17" s="107"/>
      <c r="D17" s="108"/>
      <c r="E17" s="107"/>
      <c r="F17"/>
    </row>
    <row r="18" spans="1:6" ht="15">
      <c r="A18" s="105" t="s">
        <v>79</v>
      </c>
      <c r="B18" s="106"/>
      <c r="C18" s="113"/>
      <c r="D18" s="112"/>
      <c r="E18" s="113"/>
      <c r="F18"/>
    </row>
    <row r="19" spans="1:6" ht="15">
      <c r="A19" s="123" t="s">
        <v>72</v>
      </c>
      <c r="B19" s="106"/>
      <c r="C19" s="107">
        <v>2787</v>
      </c>
      <c r="D19" s="108"/>
      <c r="E19" s="107">
        <v>8307</v>
      </c>
      <c r="F19"/>
    </row>
    <row r="20" spans="1:6" ht="15">
      <c r="A20" s="123" t="s">
        <v>73</v>
      </c>
      <c r="B20" s="106"/>
      <c r="C20" s="107">
        <v>-9258</v>
      </c>
      <c r="D20" s="106"/>
      <c r="E20" s="107">
        <v>-15657</v>
      </c>
      <c r="F20"/>
    </row>
    <row r="21" spans="1:6" ht="15">
      <c r="A21" s="123" t="s">
        <v>74</v>
      </c>
      <c r="B21" s="106"/>
      <c r="C21" s="107">
        <v>-26</v>
      </c>
      <c r="D21" s="106"/>
      <c r="E21" s="107">
        <v>-25</v>
      </c>
      <c r="F21"/>
    </row>
    <row r="22" spans="1:6" ht="15">
      <c r="A22" s="123" t="s">
        <v>75</v>
      </c>
      <c r="B22" s="106"/>
      <c r="C22" s="107">
        <v>-1118</v>
      </c>
      <c r="D22" s="106"/>
      <c r="E22" s="107">
        <v>-986</v>
      </c>
      <c r="F22"/>
    </row>
    <row r="23" spans="1:6" ht="15.75" thickBot="1">
      <c r="A23" s="110" t="s">
        <v>81</v>
      </c>
      <c r="B23" s="106"/>
      <c r="C23" s="111">
        <f>SUM(C19:C22)</f>
        <v>-7615</v>
      </c>
      <c r="D23" s="112"/>
      <c r="E23" s="111">
        <f>SUM(E19:E22)</f>
        <v>-8361</v>
      </c>
      <c r="F23"/>
    </row>
    <row r="24" spans="1:6" ht="15.75" thickTop="1">
      <c r="A24" s="124"/>
      <c r="B24" s="106"/>
      <c r="C24" s="107"/>
      <c r="D24" s="106"/>
      <c r="E24" s="107"/>
      <c r="F24"/>
    </row>
    <row r="25" spans="1:6" ht="30">
      <c r="A25" s="114" t="s">
        <v>27</v>
      </c>
      <c r="B25" s="109"/>
      <c r="C25" s="115">
        <f>SUM(C12,C16,C23)</f>
        <v>-232</v>
      </c>
      <c r="D25" s="116"/>
      <c r="E25" s="115">
        <f>SUM(E12,E16,E23)</f>
        <v>-922</v>
      </c>
      <c r="F25"/>
    </row>
    <row r="26" spans="1:6" ht="15">
      <c r="A26" s="124"/>
      <c r="B26" s="106"/>
      <c r="C26" s="107"/>
      <c r="D26" s="106"/>
      <c r="E26" s="107"/>
      <c r="F26"/>
    </row>
    <row r="27" spans="1:6" ht="15">
      <c r="A27" s="114" t="s">
        <v>12</v>
      </c>
      <c r="B27" s="109"/>
      <c r="C27" s="115">
        <v>291</v>
      </c>
      <c r="D27" s="116"/>
      <c r="E27" s="115">
        <v>1213</v>
      </c>
      <c r="F27"/>
    </row>
    <row r="28" spans="1:6" ht="15">
      <c r="A28" s="124"/>
      <c r="B28" s="106"/>
      <c r="C28" s="107"/>
      <c r="D28" s="106"/>
      <c r="E28" s="107"/>
      <c r="F28"/>
    </row>
    <row r="29" spans="1:6" ht="15.75" thickBot="1">
      <c r="A29" s="114" t="s">
        <v>719</v>
      </c>
      <c r="B29" s="109"/>
      <c r="C29" s="117">
        <f>SUM(C25,C27)</f>
        <v>59</v>
      </c>
      <c r="D29" s="116"/>
      <c r="E29" s="117">
        <f>SUM(E25,E27)</f>
        <v>291</v>
      </c>
      <c r="F29"/>
    </row>
    <row r="30" spans="1:6" ht="15">
      <c r="A30" s="399"/>
      <c r="B30" s="149"/>
      <c r="C30" s="398"/>
      <c r="D30" s="151"/>
      <c r="E30" s="398"/>
      <c r="F30"/>
    </row>
    <row r="31" spans="1:6" ht="15">
      <c r="A31" s="530"/>
      <c r="B31" s="530"/>
      <c r="C31" s="530"/>
      <c r="D31" s="530"/>
      <c r="E31" s="530"/>
      <c r="F31"/>
    </row>
    <row r="32" spans="1:6" ht="15">
      <c r="A32" s="417">
        <f>IF(AND(C$30="",E$30=""),"","Парични средства в баланса БАЛАНСА:")</f>
      </c>
      <c r="B32" s="418"/>
      <c r="C32" s="419">
        <f>IF(C$29=баланс!E$19,"",баланс!E$19)</f>
      </c>
      <c r="D32" s="418"/>
      <c r="E32" s="419"/>
      <c r="F32"/>
    </row>
    <row r="33" spans="1:6" ht="15">
      <c r="A33" s="211" t="str">
        <f>НАЧАЛО!$A$44</f>
        <v>Представляващ:</v>
      </c>
      <c r="B33" s="149"/>
      <c r="C33" s="150"/>
      <c r="D33" s="151"/>
      <c r="E33" s="150"/>
      <c r="F33"/>
    </row>
    <row r="34" spans="1:6" ht="15">
      <c r="A34" s="130" t="str">
        <f>НАЧАЛО!$A$46</f>
        <v>инж. ЙОРДАН ВАСИЛЕВ ВАСИЛЕВ</v>
      </c>
      <c r="B34" s="149"/>
      <c r="C34" s="152"/>
      <c r="D34" s="149"/>
      <c r="E34" s="152"/>
      <c r="F34"/>
    </row>
    <row r="35" spans="1:6" ht="15">
      <c r="A35" s="62"/>
      <c r="B35" s="149"/>
      <c r="C35" s="152"/>
      <c r="D35" s="149"/>
      <c r="E35" s="152"/>
      <c r="F35"/>
    </row>
    <row r="36" spans="1:6" ht="15">
      <c r="A36" s="66" t="str">
        <f>НАЧАЛО!$F$44</f>
        <v>Съставител:</v>
      </c>
      <c r="B36" s="149"/>
      <c r="C36" s="152"/>
      <c r="D36" s="149"/>
      <c r="E36" s="152"/>
      <c r="F36"/>
    </row>
    <row r="37" spans="1:6" ht="15">
      <c r="A37" s="73" t="str">
        <f>НАЧАЛО!$F$46</f>
        <v>БЕРТА СИМЕОНОВА ЦАНКОВА</v>
      </c>
      <c r="B37" s="153"/>
      <c r="C37" s="154"/>
      <c r="D37" s="149"/>
      <c r="E37" s="154"/>
      <c r="F37"/>
    </row>
    <row r="38" spans="1:6" ht="15">
      <c r="A38" s="66"/>
      <c r="B38" s="529"/>
      <c r="C38" s="529"/>
      <c r="D38" s="529"/>
      <c r="E38" s="529"/>
      <c r="F38"/>
    </row>
    <row r="39" spans="1:6" ht="15">
      <c r="A39" s="73"/>
      <c r="B39" s="155"/>
      <c r="C39" s="155"/>
      <c r="D39" s="155"/>
      <c r="E39" s="155"/>
      <c r="F39"/>
    </row>
    <row r="40" spans="1:6" ht="1.5" customHeight="1">
      <c r="A40" s="130"/>
      <c r="B40" s="153"/>
      <c r="C40" s="154"/>
      <c r="D40" s="149"/>
      <c r="E40" s="154"/>
      <c r="F40"/>
    </row>
    <row r="41" spans="1:6" ht="15" customHeight="1" hidden="1">
      <c r="A41" s="70"/>
      <c r="B41" s="153"/>
      <c r="C41" s="154"/>
      <c r="D41" s="149"/>
      <c r="E41" s="154"/>
      <c r="F41" s="1"/>
    </row>
    <row r="42" spans="1:6" ht="15">
      <c r="A42" s="130"/>
      <c r="B42" s="153"/>
      <c r="C42" s="154"/>
      <c r="D42" s="149"/>
      <c r="E42" s="154"/>
      <c r="F42" s="1"/>
    </row>
    <row r="43" ht="15">
      <c r="A43" s="135"/>
    </row>
    <row r="44" ht="15">
      <c r="A44" s="136"/>
    </row>
    <row r="45" ht="15">
      <c r="A45" s="135"/>
    </row>
    <row r="46" ht="15">
      <c r="A46" s="137"/>
    </row>
    <row r="47" ht="15">
      <c r="A47" s="137"/>
    </row>
    <row r="48" ht="15">
      <c r="A48" s="147"/>
    </row>
  </sheetData>
  <sheetProtection/>
  <mergeCells count="4">
    <mergeCell ref="A1:E1"/>
    <mergeCell ref="A2:E2"/>
    <mergeCell ref="B38:E38"/>
    <mergeCell ref="A31:E31"/>
  </mergeCells>
  <printOptions/>
  <pageMargins left="0.7086614173228347" right="0.7086614173228347" top="1.3385826771653544" bottom="0.35433070866141736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43.140625" style="195" customWidth="1"/>
    <col min="2" max="2" width="1.1484375" style="195" customWidth="1"/>
    <col min="3" max="3" width="9.7109375" style="157" customWidth="1"/>
    <col min="4" max="4" width="1.421875" style="157" customWidth="1"/>
    <col min="5" max="5" width="9.7109375" style="157" customWidth="1"/>
    <col min="6" max="6" width="1.421875" style="157" customWidth="1"/>
    <col min="7" max="7" width="9.7109375" style="157" customWidth="1"/>
    <col min="8" max="8" width="1.421875" style="157" customWidth="1"/>
    <col min="9" max="9" width="9.7109375" style="157" customWidth="1"/>
    <col min="10" max="10" width="1.421875" style="157" customWidth="1"/>
    <col min="11" max="11" width="9.7109375" style="157" customWidth="1"/>
    <col min="12" max="12" width="1.421875" style="157" customWidth="1"/>
    <col min="13" max="13" width="9.7109375" style="157" customWidth="1"/>
    <col min="14" max="14" width="0.71875" style="157" customWidth="1"/>
    <col min="15" max="15" width="9.7109375" style="157" customWidth="1"/>
    <col min="16" max="16" width="3.140625" style="157" hidden="1" customWidth="1"/>
    <col min="17" max="16384" width="9.140625" style="157" customWidth="1"/>
  </cols>
  <sheetData>
    <row r="1" spans="1:16" ht="18" customHeight="1">
      <c r="A1" s="527" t="str">
        <f>ОПР!A1:G1</f>
        <v>"ТОПЛОФИКАЦИЯ - ПЛЕВЕН" ЕАД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156"/>
    </row>
    <row r="2" spans="1:16" ht="18" customHeight="1">
      <c r="A2" s="538" t="s">
        <v>744</v>
      </c>
      <c r="B2" s="538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156"/>
    </row>
    <row r="3" spans="1:16" ht="9.75" customHeight="1">
      <c r="A3" s="539"/>
      <c r="B3" s="539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156"/>
    </row>
    <row r="4" spans="1:18" ht="33.75" customHeight="1">
      <c r="A4" s="536"/>
      <c r="B4" s="158"/>
      <c r="C4" s="532" t="s">
        <v>22</v>
      </c>
      <c r="D4" s="159"/>
      <c r="E4" s="532" t="s">
        <v>669</v>
      </c>
      <c r="F4" s="159"/>
      <c r="G4" s="532" t="s">
        <v>28</v>
      </c>
      <c r="H4" s="159"/>
      <c r="I4" s="532" t="s">
        <v>7</v>
      </c>
      <c r="J4" s="159"/>
      <c r="K4" s="532" t="s">
        <v>23</v>
      </c>
      <c r="L4" s="159"/>
      <c r="M4" s="532" t="s">
        <v>670</v>
      </c>
      <c r="N4" s="159"/>
      <c r="O4" s="532" t="s">
        <v>24</v>
      </c>
      <c r="P4" s="156"/>
      <c r="Q4" s="160"/>
      <c r="R4" s="160"/>
    </row>
    <row r="5" spans="1:18" s="165" customFormat="1" ht="18" customHeight="1">
      <c r="A5" s="537"/>
      <c r="B5" s="161"/>
      <c r="C5" s="533"/>
      <c r="D5" s="162"/>
      <c r="E5" s="533"/>
      <c r="F5" s="162"/>
      <c r="G5" s="533"/>
      <c r="H5" s="162"/>
      <c r="I5" s="533"/>
      <c r="J5" s="163"/>
      <c r="K5" s="533"/>
      <c r="L5" s="162"/>
      <c r="M5" s="533"/>
      <c r="N5" s="162"/>
      <c r="O5" s="533"/>
      <c r="P5" s="164"/>
      <c r="Q5" s="160"/>
      <c r="R5" s="160"/>
    </row>
    <row r="6" spans="1:18" s="165" customFormat="1" ht="15">
      <c r="A6" s="161"/>
      <c r="B6" s="161"/>
      <c r="C6" s="166" t="s">
        <v>16</v>
      </c>
      <c r="D6" s="167"/>
      <c r="E6" s="166" t="s">
        <v>16</v>
      </c>
      <c r="F6" s="167"/>
      <c r="G6" s="166" t="s">
        <v>16</v>
      </c>
      <c r="H6" s="167"/>
      <c r="I6" s="166" t="s">
        <v>16</v>
      </c>
      <c r="J6" s="168"/>
      <c r="K6" s="166" t="s">
        <v>16</v>
      </c>
      <c r="L6" s="167"/>
      <c r="M6" s="166" t="s">
        <v>16</v>
      </c>
      <c r="N6" s="167"/>
      <c r="O6" s="166" t="s">
        <v>16</v>
      </c>
      <c r="P6" s="164"/>
      <c r="Q6" s="160"/>
      <c r="R6" s="160"/>
    </row>
    <row r="7" spans="1:18" s="176" customFormat="1" ht="15">
      <c r="A7" s="169"/>
      <c r="B7" s="169"/>
      <c r="C7" s="170"/>
      <c r="D7" s="172"/>
      <c r="E7" s="172"/>
      <c r="F7" s="171"/>
      <c r="G7" s="172"/>
      <c r="H7" s="171"/>
      <c r="I7" s="172"/>
      <c r="J7" s="173"/>
      <c r="K7" s="172"/>
      <c r="L7" s="171"/>
      <c r="M7" s="174"/>
      <c r="N7" s="171"/>
      <c r="O7" s="175"/>
      <c r="P7" s="171"/>
      <c r="Q7" s="160"/>
      <c r="R7" s="160"/>
    </row>
    <row r="8" spans="1:18" s="181" customFormat="1" ht="15.75" thickBot="1">
      <c r="A8" s="177" t="s">
        <v>645</v>
      </c>
      <c r="B8" s="169"/>
      <c r="C8" s="178">
        <v>19842</v>
      </c>
      <c r="D8" s="179"/>
      <c r="E8" s="178">
        <v>-936</v>
      </c>
      <c r="F8" s="179"/>
      <c r="G8" s="178">
        <v>16194</v>
      </c>
      <c r="H8" s="179"/>
      <c r="I8" s="178">
        <v>1984</v>
      </c>
      <c r="J8" s="173"/>
      <c r="K8" s="178">
        <v>9145</v>
      </c>
      <c r="L8" s="179"/>
      <c r="M8" s="178">
        <v>-7811</v>
      </c>
      <c r="N8" s="179"/>
      <c r="O8" s="180">
        <f>C8+E8+G8+I8+K8+M8</f>
        <v>38418</v>
      </c>
      <c r="P8" s="171"/>
      <c r="Q8" s="160"/>
      <c r="R8" s="160"/>
    </row>
    <row r="9" spans="1:18" s="181" customFormat="1" ht="25.5">
      <c r="A9" s="182" t="s">
        <v>41</v>
      </c>
      <c r="B9" s="183"/>
      <c r="C9" s="184">
        <v>0</v>
      </c>
      <c r="D9" s="179"/>
      <c r="E9" s="184">
        <v>0</v>
      </c>
      <c r="F9" s="179"/>
      <c r="G9" s="184">
        <v>0</v>
      </c>
      <c r="H9" s="179"/>
      <c r="I9" s="184">
        <v>0</v>
      </c>
      <c r="J9" s="173"/>
      <c r="K9" s="184">
        <v>0</v>
      </c>
      <c r="L9" s="179"/>
      <c r="M9" s="184">
        <v>0</v>
      </c>
      <c r="N9" s="179"/>
      <c r="O9" s="175">
        <v>0</v>
      </c>
      <c r="P9" s="171"/>
      <c r="Q9" s="160"/>
      <c r="R9" s="160"/>
    </row>
    <row r="10" spans="1:18" s="181" customFormat="1" ht="27.75" customHeight="1" thickBot="1">
      <c r="A10" s="479" t="s">
        <v>647</v>
      </c>
      <c r="B10" s="169"/>
      <c r="C10" s="178">
        <v>19842</v>
      </c>
      <c r="D10" s="179"/>
      <c r="E10" s="178">
        <v>-936</v>
      </c>
      <c r="F10" s="179"/>
      <c r="G10" s="178">
        <f>G8</f>
        <v>16194</v>
      </c>
      <c r="H10" s="179"/>
      <c r="I10" s="178">
        <f>I8</f>
        <v>1984</v>
      </c>
      <c r="J10" s="173"/>
      <c r="K10" s="178">
        <f>K8</f>
        <v>9145</v>
      </c>
      <c r="L10" s="179"/>
      <c r="M10" s="178">
        <f>M8</f>
        <v>-7811</v>
      </c>
      <c r="N10" s="179"/>
      <c r="O10" s="180">
        <f>C10+E10+G10+I10+K10+M10</f>
        <v>38418</v>
      </c>
      <c r="P10" s="171"/>
      <c r="Q10" s="160"/>
      <c r="R10" s="160"/>
    </row>
    <row r="11" spans="1:22" s="181" customFormat="1" ht="15">
      <c r="A11" s="190" t="s">
        <v>82</v>
      </c>
      <c r="B11" s="185"/>
      <c r="C11" s="188"/>
      <c r="D11" s="189"/>
      <c r="E11" s="188"/>
      <c r="F11" s="189"/>
      <c r="G11" s="188"/>
      <c r="H11" s="189"/>
      <c r="I11" s="188"/>
      <c r="J11" s="189"/>
      <c r="K11" s="188"/>
      <c r="L11" s="189"/>
      <c r="M11" s="188">
        <v>1636</v>
      </c>
      <c r="N11" s="189"/>
      <c r="O11" s="188">
        <f>M11</f>
        <v>1636</v>
      </c>
      <c r="P11" s="192"/>
      <c r="Q11" s="160"/>
      <c r="R11" s="160"/>
      <c r="S11" s="186"/>
      <c r="T11" s="186"/>
      <c r="U11" s="186"/>
      <c r="V11" s="186"/>
    </row>
    <row r="12" spans="1:22" s="181" customFormat="1" ht="15">
      <c r="A12" s="190" t="s">
        <v>111</v>
      </c>
      <c r="B12" s="185"/>
      <c r="C12" s="188"/>
      <c r="D12" s="189"/>
      <c r="E12" s="188"/>
      <c r="F12" s="189"/>
      <c r="G12" s="188"/>
      <c r="H12" s="189"/>
      <c r="I12" s="188"/>
      <c r="J12" s="189"/>
      <c r="K12" s="188"/>
      <c r="L12" s="189"/>
      <c r="M12" s="188"/>
      <c r="N12" s="189"/>
      <c r="O12" s="188">
        <f>SUM(C12:M12)</f>
        <v>0</v>
      </c>
      <c r="P12" s="192"/>
      <c r="Q12" s="160"/>
      <c r="R12" s="160"/>
      <c r="S12" s="186"/>
      <c r="T12" s="186"/>
      <c r="U12" s="186"/>
      <c r="V12" s="186"/>
    </row>
    <row r="13" spans="1:22" s="181" customFormat="1" ht="15">
      <c r="A13" s="190" t="s">
        <v>668</v>
      </c>
      <c r="B13" s="185"/>
      <c r="C13" s="188"/>
      <c r="D13" s="189"/>
      <c r="E13" s="188"/>
      <c r="F13" s="189"/>
      <c r="G13" s="188"/>
      <c r="H13" s="189"/>
      <c r="I13" s="188"/>
      <c r="J13" s="189"/>
      <c r="K13" s="188"/>
      <c r="L13" s="189"/>
      <c r="M13" s="188"/>
      <c r="N13" s="189"/>
      <c r="O13" s="188">
        <f>SUM(C13:M13)</f>
        <v>0</v>
      </c>
      <c r="P13" s="192"/>
      <c r="Q13" s="160"/>
      <c r="R13" s="160"/>
      <c r="S13" s="186"/>
      <c r="T13" s="186"/>
      <c r="U13" s="186"/>
      <c r="V13" s="186"/>
    </row>
    <row r="14" spans="1:22" s="181" customFormat="1" ht="15">
      <c r="A14" s="190" t="s">
        <v>40</v>
      </c>
      <c r="B14" s="185"/>
      <c r="C14" s="188"/>
      <c r="D14" s="189"/>
      <c r="E14" s="188"/>
      <c r="F14" s="189"/>
      <c r="G14" s="188">
        <v>-4</v>
      </c>
      <c r="H14" s="189"/>
      <c r="I14" s="188"/>
      <c r="J14" s="189"/>
      <c r="K14" s="188"/>
      <c r="L14" s="189"/>
      <c r="M14" s="188">
        <v>6</v>
      </c>
      <c r="N14" s="189"/>
      <c r="O14" s="188">
        <f>SUM(C14:M14)</f>
        <v>2</v>
      </c>
      <c r="P14" s="192"/>
      <c r="Q14" s="160"/>
      <c r="R14" s="160"/>
      <c r="S14" s="186"/>
      <c r="T14" s="186"/>
      <c r="U14" s="186"/>
      <c r="V14" s="186"/>
    </row>
    <row r="15" spans="1:22" s="181" customFormat="1" ht="15.75" thickBot="1">
      <c r="A15" s="177" t="s">
        <v>646</v>
      </c>
      <c r="B15" s="169"/>
      <c r="C15" s="178">
        <f>C10+C11+C12+C14</f>
        <v>19842</v>
      </c>
      <c r="D15" s="179"/>
      <c r="E15" s="191">
        <f>E10+E11+E12+E14+E13</f>
        <v>-936</v>
      </c>
      <c r="F15" s="179">
        <f aca="true" t="shared" si="0" ref="F15:N15">F10+F11+F12+F14</f>
        <v>0</v>
      </c>
      <c r="G15" s="191">
        <f>G10+G11+G12+G14+G13</f>
        <v>16190</v>
      </c>
      <c r="H15" s="179">
        <f t="shared" si="0"/>
        <v>0</v>
      </c>
      <c r="I15" s="191">
        <f t="shared" si="0"/>
        <v>1984</v>
      </c>
      <c r="J15" s="179">
        <f t="shared" si="0"/>
        <v>0</v>
      </c>
      <c r="K15" s="191">
        <f t="shared" si="0"/>
        <v>9145</v>
      </c>
      <c r="L15" s="179">
        <f t="shared" si="0"/>
        <v>0</v>
      </c>
      <c r="M15" s="191">
        <f>M10+M11+M12+M14+M13</f>
        <v>-6169</v>
      </c>
      <c r="N15" s="179">
        <f t="shared" si="0"/>
        <v>0</v>
      </c>
      <c r="O15" s="180">
        <f>C15+E15+G15+I15+K15+M15</f>
        <v>40056</v>
      </c>
      <c r="P15" s="192"/>
      <c r="Q15" s="160"/>
      <c r="R15" s="160"/>
      <c r="S15" s="186"/>
      <c r="T15" s="186"/>
      <c r="U15" s="186"/>
      <c r="V15" s="186"/>
    </row>
    <row r="16" spans="1:22" s="181" customFormat="1" ht="15">
      <c r="A16" s="405"/>
      <c r="B16" s="404"/>
      <c r="C16" s="403">
        <f>IF(СК!C$15=баланс!E$26,"",СК!C$15-баланс!E$26)</f>
      </c>
      <c r="D16" s="403"/>
      <c r="E16" s="403"/>
      <c r="F16" s="534">
        <f>IF(K16="","","Разлика резерви общо:")</f>
      </c>
      <c r="G16" s="534"/>
      <c r="H16" s="534"/>
      <c r="I16" s="534"/>
      <c r="J16" s="534"/>
      <c r="K16" s="404">
        <f>IF(G$15+I$15+K$15=баланс!E$28,"",СК!G15+СК!I15+СК!K15-баланс!E$28)</f>
      </c>
      <c r="L16" s="403"/>
      <c r="M16" s="403"/>
      <c r="N16" s="403"/>
      <c r="O16" s="403">
        <f>IF(СК!O$15=баланс!E$33,"",СК!O15-баланс!E$33)</f>
      </c>
      <c r="P16" s="192"/>
      <c r="Q16" s="160"/>
      <c r="R16" s="160"/>
      <c r="S16" s="186"/>
      <c r="T16" s="186"/>
      <c r="U16" s="186"/>
      <c r="V16" s="186"/>
    </row>
    <row r="17" spans="1:22" s="176" customFormat="1" ht="15">
      <c r="A17" s="535">
        <f>ОПР!A42</f>
        <v>0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192"/>
      <c r="Q17" s="160"/>
      <c r="R17" s="160"/>
      <c r="S17" s="187"/>
      <c r="T17" s="187"/>
      <c r="U17" s="187"/>
      <c r="V17" s="187"/>
    </row>
    <row r="18" spans="1:22" s="176" customFormat="1" ht="15">
      <c r="A18" s="413"/>
      <c r="B18" s="414"/>
      <c r="C18" s="413">
        <f>IF(СК!C$15=баланс!E$26,"",баланс!E$26)</f>
      </c>
      <c r="D18" s="415"/>
      <c r="E18" s="413"/>
      <c r="F18" s="531">
        <f>IF(K18="","","Стойност резерви общо:")</f>
      </c>
      <c r="G18" s="531"/>
      <c r="H18" s="531"/>
      <c r="I18" s="531"/>
      <c r="J18" s="531"/>
      <c r="K18" s="416">
        <f>IF(G$15+I$15+K$15=баланс!E$28,"",баланс!E$28)</f>
      </c>
      <c r="L18" s="415"/>
      <c r="M18" s="413"/>
      <c r="N18" s="415"/>
      <c r="O18" s="413">
        <f>IF(СК!O$15=баланс!E$33,"",баланс!E$33)</f>
      </c>
      <c r="P18" s="192"/>
      <c r="Q18" s="194"/>
      <c r="R18" s="187"/>
      <c r="S18" s="187"/>
      <c r="T18" s="187"/>
      <c r="U18" s="187"/>
      <c r="V18" s="187"/>
    </row>
    <row r="19" spans="1:22" s="176" customFormat="1" ht="15">
      <c r="A19" s="211" t="str">
        <f>НАЧАЛО!$A$44</f>
        <v>Представляващ:</v>
      </c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192"/>
      <c r="Q19" s="187"/>
      <c r="R19" s="187"/>
      <c r="S19" s="187"/>
      <c r="T19" s="187"/>
      <c r="U19" s="187"/>
      <c r="V19" s="187"/>
    </row>
    <row r="20" spans="1:22" ht="15">
      <c r="A20" s="130" t="str">
        <f>НАЧАЛО!$A$46</f>
        <v>инж. ЙОРДАН ВАСИЛЕВ ВАСИЛЕВ</v>
      </c>
      <c r="B20" s="64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192"/>
      <c r="Q20" s="195"/>
      <c r="R20" s="195"/>
      <c r="S20" s="195"/>
      <c r="T20" s="195"/>
      <c r="U20" s="195"/>
      <c r="V20" s="195"/>
    </row>
    <row r="21" spans="1:22" ht="15">
      <c r="A21" s="62"/>
      <c r="B21" s="208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192"/>
      <c r="Q21" s="195"/>
      <c r="R21" s="195"/>
      <c r="S21" s="195"/>
      <c r="T21" s="195"/>
      <c r="U21" s="195"/>
      <c r="V21" s="195"/>
    </row>
    <row r="22" spans="1:22" ht="15">
      <c r="A22" s="66" t="str">
        <f>НАЧАЛО!$F$44</f>
        <v>Съставител:</v>
      </c>
      <c r="B22" s="64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192"/>
      <c r="Q22" s="195"/>
      <c r="R22" s="195"/>
      <c r="S22" s="195"/>
      <c r="T22" s="195"/>
      <c r="U22" s="195"/>
      <c r="V22" s="195"/>
    </row>
    <row r="23" spans="1:22" ht="15">
      <c r="A23" s="73" t="str">
        <f>НАЧАЛО!$F$46</f>
        <v>БЕРТА СИМЕОНОВА ЦАНКОВА</v>
      </c>
      <c r="B23" s="208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192"/>
      <c r="Q23" s="195"/>
      <c r="R23" s="195"/>
      <c r="S23" s="195"/>
      <c r="T23" s="195"/>
      <c r="U23" s="195"/>
      <c r="V23" s="195"/>
    </row>
    <row r="24" spans="1:22" ht="13.5" customHeight="1">
      <c r="A24" s="66"/>
      <c r="B24" s="208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192"/>
      <c r="Q24" s="195"/>
      <c r="R24" s="195"/>
      <c r="S24" s="195"/>
      <c r="T24" s="195"/>
      <c r="U24" s="195"/>
      <c r="V24" s="195"/>
    </row>
    <row r="25" spans="1:22" ht="15" hidden="1">
      <c r="A25" s="73"/>
      <c r="B25" s="209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192"/>
      <c r="Q25" s="195"/>
      <c r="R25" s="195"/>
      <c r="S25" s="195"/>
      <c r="T25" s="195"/>
      <c r="U25" s="195"/>
      <c r="V25" s="195"/>
    </row>
    <row r="26" spans="1:22" ht="15" hidden="1">
      <c r="A26" s="130"/>
      <c r="B26" s="208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192"/>
      <c r="Q26" s="195"/>
      <c r="R26" s="195"/>
      <c r="S26" s="195"/>
      <c r="T26" s="195"/>
      <c r="U26" s="195"/>
      <c r="V26" s="195"/>
    </row>
    <row r="27" spans="1:16" ht="18.75">
      <c r="A27" s="70"/>
      <c r="B27" s="210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192"/>
    </row>
    <row r="28" spans="1:16" ht="15">
      <c r="A28" s="130"/>
      <c r="B28" s="209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192"/>
    </row>
    <row r="29" spans="1:16" ht="15">
      <c r="A29" s="400"/>
      <c r="B29" s="40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P29" s="160"/>
    </row>
    <row r="30" spans="1:16" ht="15">
      <c r="A30" s="401"/>
      <c r="B30" s="401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P30" s="160"/>
    </row>
    <row r="31" spans="1:16" ht="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P31" s="160"/>
    </row>
    <row r="32" spans="1:16" ht="1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P32" s="160"/>
    </row>
    <row r="33" spans="1:16" ht="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P33" s="160"/>
    </row>
    <row r="34" spans="1:16" ht="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P34" s="160"/>
    </row>
    <row r="35" spans="1:16" ht="1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P35" s="160"/>
    </row>
    <row r="36" spans="1:16" ht="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P36" s="160"/>
    </row>
    <row r="37" spans="1:19" ht="87.7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O37" s="402"/>
      <c r="P37" s="160"/>
      <c r="S37" s="157" t="s">
        <v>30</v>
      </c>
    </row>
    <row r="38" spans="1:16" ht="1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P38" s="160"/>
    </row>
    <row r="39" spans="1:16" ht="1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P39" s="160"/>
    </row>
    <row r="40" spans="1:16" ht="1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P40" s="160"/>
    </row>
    <row r="41" ht="15">
      <c r="P41" s="160"/>
    </row>
    <row r="42" ht="15">
      <c r="P42" s="160"/>
    </row>
    <row r="43" ht="15">
      <c r="P43" s="160"/>
    </row>
    <row r="44" ht="15">
      <c r="P44" s="160"/>
    </row>
    <row r="45" ht="15">
      <c r="P45" s="160"/>
    </row>
  </sheetData>
  <sheetProtection/>
  <mergeCells count="14">
    <mergeCell ref="C4:C5"/>
    <mergeCell ref="E4:E5"/>
    <mergeCell ref="M4:M5"/>
    <mergeCell ref="O4:O5"/>
    <mergeCell ref="F18:J18"/>
    <mergeCell ref="I4:I5"/>
    <mergeCell ref="K4:K5"/>
    <mergeCell ref="F16:J16"/>
    <mergeCell ref="G4:G5"/>
    <mergeCell ref="A1:O1"/>
    <mergeCell ref="A17:O17"/>
    <mergeCell ref="A4:A5"/>
    <mergeCell ref="A2:O2"/>
    <mergeCell ref="A3:O3"/>
  </mergeCells>
  <printOptions horizontalCentered="1"/>
  <pageMargins left="0.7480314960629921" right="0.03937007874015748" top="1.2598425196850394" bottom="0.7086614173228347" header="0.3937007874015748" footer="0.7874015748031497"/>
  <pageSetup firstPageNumber="1" useFirstPageNumber="1" horizontalDpi="600" verticalDpi="600" orientation="landscape" paperSize="9" r:id="rId1"/>
  <rowBreaks count="1" manualBreakCount="1">
    <brk id="28" max="12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239"/>
  <sheetViews>
    <sheetView view="pageBreakPreview" zoomScaleSheetLayoutView="100" zoomScalePageLayoutView="0" workbookViewId="0" topLeftCell="A19">
      <selection activeCell="I13" sqref="I13"/>
    </sheetView>
  </sheetViews>
  <sheetFormatPr defaultColWidth="20.8515625" defaultRowHeight="12.75"/>
  <cols>
    <col min="1" max="1" width="2.7109375" style="213" customWidth="1"/>
    <col min="2" max="2" width="20.57421875" style="292" customWidth="1"/>
    <col min="3" max="3" width="6.57421875" style="292" customWidth="1"/>
    <col min="4" max="4" width="8.57421875" style="197" customWidth="1"/>
    <col min="5" max="5" width="6.57421875" style="197" customWidth="1"/>
    <col min="6" max="6" width="9.140625" style="213" customWidth="1"/>
    <col min="7" max="7" width="10.140625" style="213" customWidth="1"/>
    <col min="8" max="8" width="7.28125" style="213" customWidth="1"/>
    <col min="9" max="9" width="9.28125" style="213" customWidth="1"/>
    <col min="10" max="10" width="11.8515625" style="213" customWidth="1"/>
    <col min="11" max="11" width="3.140625" style="213" customWidth="1"/>
    <col min="12" max="12" width="22.140625" style="213" customWidth="1"/>
    <col min="13" max="13" width="9.8515625" style="213" customWidth="1"/>
    <col min="14" max="14" width="10.140625" style="213" customWidth="1"/>
    <col min="15" max="15" width="8.421875" style="213" customWidth="1"/>
    <col min="16" max="16" width="9.00390625" style="213" customWidth="1"/>
    <col min="17" max="17" width="3.140625" style="213" customWidth="1"/>
    <col min="18" max="18" width="22.140625" style="213" customWidth="1"/>
    <col min="19" max="19" width="9.28125" style="213" customWidth="1"/>
    <col min="20" max="20" width="9.421875" style="213" customWidth="1"/>
    <col min="21" max="21" width="8.8515625" style="213" customWidth="1"/>
    <col min="22" max="22" width="9.140625" style="213" customWidth="1"/>
    <col min="23" max="23" width="4.7109375" style="213" customWidth="1"/>
    <col min="24" max="25" width="14.00390625" style="213" customWidth="1"/>
    <col min="26" max="27" width="11.8515625" style="213" customWidth="1"/>
    <col min="28" max="28" width="10.57421875" style="213" customWidth="1"/>
    <col min="29" max="16384" width="20.8515625" style="213" customWidth="1"/>
  </cols>
  <sheetData>
    <row r="1" spans="2:27" ht="14.25" customHeight="1">
      <c r="B1" s="576" t="s">
        <v>598</v>
      </c>
      <c r="C1" s="576"/>
      <c r="D1" s="576"/>
      <c r="E1" s="576"/>
      <c r="F1" s="576"/>
      <c r="G1" s="576"/>
      <c r="H1" s="576"/>
      <c r="I1" s="576"/>
      <c r="J1" s="576"/>
      <c r="L1" s="577" t="s">
        <v>19</v>
      </c>
      <c r="M1" s="577"/>
      <c r="N1" s="577"/>
      <c r="O1" s="577"/>
      <c r="P1" s="577"/>
      <c r="Q1" s="214"/>
      <c r="R1" s="577" t="s">
        <v>39</v>
      </c>
      <c r="S1" s="577"/>
      <c r="T1" s="577"/>
      <c r="U1" s="577"/>
      <c r="V1" s="577"/>
      <c r="X1" s="559" t="s">
        <v>167</v>
      </c>
      <c r="Y1" s="559"/>
      <c r="Z1" s="559"/>
      <c r="AA1" s="559"/>
    </row>
    <row r="2" spans="2:27" s="217" customFormat="1" ht="18.75" customHeight="1">
      <c r="B2" s="560"/>
      <c r="C2" s="573" t="s">
        <v>83</v>
      </c>
      <c r="D2" s="575" t="s">
        <v>84</v>
      </c>
      <c r="E2" s="580" t="s">
        <v>629</v>
      </c>
      <c r="F2" s="578" t="s">
        <v>215</v>
      </c>
      <c r="G2" s="568" t="s">
        <v>168</v>
      </c>
      <c r="H2" s="568" t="s">
        <v>169</v>
      </c>
      <c r="I2" s="568" t="s">
        <v>170</v>
      </c>
      <c r="J2" s="571" t="s">
        <v>85</v>
      </c>
      <c r="K2" s="215"/>
      <c r="L2" s="560"/>
      <c r="M2" s="573" t="s">
        <v>216</v>
      </c>
      <c r="N2" s="568" t="s">
        <v>217</v>
      </c>
      <c r="O2" s="568" t="s">
        <v>169</v>
      </c>
      <c r="P2" s="571" t="s">
        <v>85</v>
      </c>
      <c r="Q2" s="216"/>
      <c r="R2" s="560"/>
      <c r="S2" s="573" t="s">
        <v>83</v>
      </c>
      <c r="T2" s="575" t="s">
        <v>84</v>
      </c>
      <c r="U2" s="568" t="s">
        <v>169</v>
      </c>
      <c r="V2" s="571" t="s">
        <v>85</v>
      </c>
      <c r="X2" s="564"/>
      <c r="Y2" s="565"/>
      <c r="Z2" s="570">
        <f>НАЧАЛО!AA2</f>
        <v>42735</v>
      </c>
      <c r="AA2" s="562" t="s">
        <v>609</v>
      </c>
    </row>
    <row r="3" spans="2:27" s="217" customFormat="1" ht="18.75">
      <c r="B3" s="561"/>
      <c r="C3" s="574"/>
      <c r="D3" s="575"/>
      <c r="E3" s="575"/>
      <c r="F3" s="579"/>
      <c r="G3" s="581"/>
      <c r="H3" s="581" t="s">
        <v>171</v>
      </c>
      <c r="I3" s="569"/>
      <c r="J3" s="572"/>
      <c r="K3" s="218"/>
      <c r="L3" s="561"/>
      <c r="M3" s="574"/>
      <c r="N3" s="569"/>
      <c r="O3" s="569"/>
      <c r="P3" s="572"/>
      <c r="Q3" s="216"/>
      <c r="R3" s="561"/>
      <c r="S3" s="574"/>
      <c r="T3" s="575"/>
      <c r="U3" s="569"/>
      <c r="V3" s="572"/>
      <c r="X3" s="566"/>
      <c r="Y3" s="567"/>
      <c r="Z3" s="570"/>
      <c r="AA3" s="563"/>
    </row>
    <row r="4" spans="2:27" s="217" customFormat="1" ht="15" customHeight="1">
      <c r="B4" s="219" t="s">
        <v>86</v>
      </c>
      <c r="C4" s="219"/>
      <c r="D4" s="220"/>
      <c r="E4" s="220"/>
      <c r="F4" s="221"/>
      <c r="G4" s="221"/>
      <c r="H4" s="221"/>
      <c r="I4" s="221"/>
      <c r="J4" s="221"/>
      <c r="K4" s="222"/>
      <c r="L4" s="219" t="s">
        <v>86</v>
      </c>
      <c r="M4" s="219"/>
      <c r="N4" s="220"/>
      <c r="O4" s="221"/>
      <c r="P4" s="221"/>
      <c r="Q4" s="216"/>
      <c r="R4" s="219" t="s">
        <v>86</v>
      </c>
      <c r="S4" s="219"/>
      <c r="T4" s="220"/>
      <c r="U4" s="221"/>
      <c r="V4" s="221"/>
      <c r="X4" s="556"/>
      <c r="Y4" s="556"/>
      <c r="Z4" s="556"/>
      <c r="AA4" s="556"/>
    </row>
    <row r="5" spans="2:27" s="226" customFormat="1" ht="15" customHeight="1">
      <c r="B5" s="248" t="s">
        <v>687</v>
      </c>
      <c r="C5" s="249">
        <v>1510</v>
      </c>
      <c r="D5" s="485">
        <v>2639</v>
      </c>
      <c r="E5" s="305"/>
      <c r="F5" s="251">
        <v>46766</v>
      </c>
      <c r="G5" s="252">
        <v>361</v>
      </c>
      <c r="H5" s="252">
        <v>112</v>
      </c>
      <c r="I5" s="252">
        <v>694</v>
      </c>
      <c r="J5" s="223">
        <f aca="true" t="shared" si="0" ref="J5:J10">SUM(C5:I5)</f>
        <v>52082</v>
      </c>
      <c r="K5" s="224"/>
      <c r="L5" s="248" t="str">
        <f>B5</f>
        <v>Салдо към 31.12.2014г.</v>
      </c>
      <c r="M5" s="249"/>
      <c r="N5" s="304">
        <v>173</v>
      </c>
      <c r="O5" s="252">
        <v>0</v>
      </c>
      <c r="P5" s="223">
        <f aca="true" t="shared" si="1" ref="P5:P10">SUM(M5:O5)</f>
        <v>173</v>
      </c>
      <c r="Q5" s="225"/>
      <c r="R5" s="248" t="str">
        <f>B5</f>
        <v>Салдо към 31.12.2014г.</v>
      </c>
      <c r="S5" s="249"/>
      <c r="T5" s="304"/>
      <c r="U5" s="252"/>
      <c r="V5" s="223">
        <f aca="true" t="shared" si="2" ref="V5:V10">SUM(S5:U5)</f>
        <v>0</v>
      </c>
      <c r="X5" s="557" t="s">
        <v>281</v>
      </c>
      <c r="Y5" s="557"/>
      <c r="Z5" s="227">
        <f>SUM(Z6:Z7)</f>
        <v>0</v>
      </c>
      <c r="AA5" s="227">
        <f>SUM(AA6:AA7)</f>
        <v>0</v>
      </c>
    </row>
    <row r="6" spans="2:27" s="235" customFormat="1" ht="15" customHeight="1">
      <c r="B6" s="228" t="s">
        <v>87</v>
      </c>
      <c r="C6" s="306"/>
      <c r="D6" s="488">
        <v>31</v>
      </c>
      <c r="E6" s="308"/>
      <c r="F6" s="309">
        <v>40</v>
      </c>
      <c r="G6" s="310"/>
      <c r="H6" s="310">
        <v>2</v>
      </c>
      <c r="I6" s="310">
        <v>213</v>
      </c>
      <c r="J6" s="223">
        <f t="shared" si="0"/>
        <v>286</v>
      </c>
      <c r="K6" s="233"/>
      <c r="L6" s="228" t="s">
        <v>87</v>
      </c>
      <c r="M6" s="229"/>
      <c r="N6" s="230">
        <v>2</v>
      </c>
      <c r="O6" s="232"/>
      <c r="P6" s="223">
        <f t="shared" si="1"/>
        <v>2</v>
      </c>
      <c r="Q6" s="234"/>
      <c r="R6" s="228" t="s">
        <v>87</v>
      </c>
      <c r="S6" s="229"/>
      <c r="T6" s="230"/>
      <c r="U6" s="232"/>
      <c r="V6" s="223">
        <f t="shared" si="2"/>
        <v>0</v>
      </c>
      <c r="X6" s="555" t="s">
        <v>83</v>
      </c>
      <c r="Y6" s="555"/>
      <c r="Z6" s="309"/>
      <c r="AA6" s="309"/>
    </row>
    <row r="7" spans="2:27" s="235" customFormat="1" ht="15" customHeight="1">
      <c r="B7" s="228" t="s">
        <v>88</v>
      </c>
      <c r="C7" s="306"/>
      <c r="D7" s="307"/>
      <c r="E7" s="308"/>
      <c r="F7" s="309">
        <v>-3</v>
      </c>
      <c r="G7" s="310"/>
      <c r="H7" s="310"/>
      <c r="I7" s="310">
        <v>-139</v>
      </c>
      <c r="J7" s="223">
        <f t="shared" si="0"/>
        <v>-142</v>
      </c>
      <c r="K7" s="236"/>
      <c r="L7" s="228" t="s">
        <v>88</v>
      </c>
      <c r="M7" s="229"/>
      <c r="N7" s="230"/>
      <c r="O7" s="232">
        <v>0</v>
      </c>
      <c r="P7" s="223">
        <f t="shared" si="1"/>
        <v>0</v>
      </c>
      <c r="Q7" s="234"/>
      <c r="R7" s="228" t="s">
        <v>88</v>
      </c>
      <c r="S7" s="229"/>
      <c r="T7" s="230"/>
      <c r="U7" s="232"/>
      <c r="V7" s="223">
        <f t="shared" si="2"/>
        <v>0</v>
      </c>
      <c r="X7" s="555" t="s">
        <v>282</v>
      </c>
      <c r="Y7" s="555"/>
      <c r="Z7" s="334"/>
      <c r="AA7" s="334"/>
    </row>
    <row r="8" spans="2:27" s="235" customFormat="1" ht="15" customHeight="1">
      <c r="B8" s="228" t="s">
        <v>220</v>
      </c>
      <c r="C8" s="311"/>
      <c r="D8" s="307"/>
      <c r="E8" s="308"/>
      <c r="F8" s="310"/>
      <c r="G8" s="315"/>
      <c r="H8" s="315"/>
      <c r="I8" s="315"/>
      <c r="J8" s="223">
        <f t="shared" si="0"/>
        <v>0</v>
      </c>
      <c r="K8" s="236"/>
      <c r="L8" s="228" t="s">
        <v>220</v>
      </c>
      <c r="M8" s="228"/>
      <c r="N8" s="230"/>
      <c r="O8" s="231"/>
      <c r="P8" s="223">
        <f t="shared" si="1"/>
        <v>0</v>
      </c>
      <c r="Q8" s="234"/>
      <c r="R8" s="228" t="s">
        <v>220</v>
      </c>
      <c r="S8" s="228"/>
      <c r="T8" s="230"/>
      <c r="U8" s="231"/>
      <c r="V8" s="223">
        <f t="shared" si="2"/>
        <v>0</v>
      </c>
      <c r="X8" s="558" t="s">
        <v>283</v>
      </c>
      <c r="Y8" s="558"/>
      <c r="Z8" s="227">
        <f>SUM(Z9:Z10)</f>
        <v>0</v>
      </c>
      <c r="AA8" s="227">
        <f>SUM(AA9:AA10)</f>
        <v>0</v>
      </c>
    </row>
    <row r="9" spans="2:27" s="235" customFormat="1" ht="15" customHeight="1">
      <c r="B9" s="228" t="s">
        <v>219</v>
      </c>
      <c r="C9" s="311"/>
      <c r="D9" s="307"/>
      <c r="E9" s="308"/>
      <c r="F9" s="309"/>
      <c r="G9" s="309"/>
      <c r="H9" s="309"/>
      <c r="I9" s="309"/>
      <c r="J9" s="223">
        <f t="shared" si="0"/>
        <v>0</v>
      </c>
      <c r="K9" s="236"/>
      <c r="L9" s="228" t="s">
        <v>219</v>
      </c>
      <c r="M9" s="228"/>
      <c r="N9" s="230"/>
      <c r="O9" s="231"/>
      <c r="P9" s="223">
        <f t="shared" si="1"/>
        <v>0</v>
      </c>
      <c r="Q9" s="234"/>
      <c r="R9" s="228" t="s">
        <v>219</v>
      </c>
      <c r="S9" s="228"/>
      <c r="T9" s="230"/>
      <c r="U9" s="231"/>
      <c r="V9" s="223">
        <f t="shared" si="2"/>
        <v>0</v>
      </c>
      <c r="X9" s="555" t="s">
        <v>33</v>
      </c>
      <c r="Y9" s="555"/>
      <c r="Z9" s="309"/>
      <c r="AA9" s="309"/>
    </row>
    <row r="10" spans="2:27" s="235" customFormat="1" ht="15" customHeight="1">
      <c r="B10" s="228" t="s">
        <v>218</v>
      </c>
      <c r="C10" s="311"/>
      <c r="D10" s="307"/>
      <c r="E10" s="308"/>
      <c r="F10" s="309"/>
      <c r="G10" s="309"/>
      <c r="H10" s="309"/>
      <c r="I10" s="309"/>
      <c r="J10" s="223">
        <f t="shared" si="0"/>
        <v>0</v>
      </c>
      <c r="K10" s="236"/>
      <c r="L10" s="228" t="s">
        <v>218</v>
      </c>
      <c r="M10" s="228"/>
      <c r="N10" s="230"/>
      <c r="O10" s="231"/>
      <c r="P10" s="223">
        <f t="shared" si="1"/>
        <v>0</v>
      </c>
      <c r="Q10" s="234"/>
      <c r="R10" s="228" t="s">
        <v>218</v>
      </c>
      <c r="S10" s="228"/>
      <c r="T10" s="230"/>
      <c r="U10" s="231"/>
      <c r="V10" s="223">
        <f t="shared" si="2"/>
        <v>0</v>
      </c>
      <c r="X10" s="555" t="s">
        <v>284</v>
      </c>
      <c r="Y10" s="555"/>
      <c r="Z10" s="334"/>
      <c r="AA10" s="334"/>
    </row>
    <row r="11" spans="2:27" s="235" customFormat="1" ht="15" customHeight="1">
      <c r="B11" s="248" t="s">
        <v>720</v>
      </c>
      <c r="C11" s="227">
        <f>SUM(C5:C10)</f>
        <v>1510</v>
      </c>
      <c r="D11" s="227">
        <f aca="true" t="shared" si="3" ref="D11:J11">SUM(D5:D10)</f>
        <v>2670</v>
      </c>
      <c r="E11" s="227">
        <f t="shared" si="3"/>
        <v>0</v>
      </c>
      <c r="F11" s="227">
        <f t="shared" si="3"/>
        <v>46803</v>
      </c>
      <c r="G11" s="227">
        <f t="shared" si="3"/>
        <v>361</v>
      </c>
      <c r="H11" s="227">
        <f t="shared" si="3"/>
        <v>114</v>
      </c>
      <c r="I11" s="227">
        <f t="shared" si="3"/>
        <v>768</v>
      </c>
      <c r="J11" s="227">
        <f t="shared" si="3"/>
        <v>52226</v>
      </c>
      <c r="K11" s="236"/>
      <c r="L11" s="237" t="str">
        <f>B11</f>
        <v>Салдо към 31.12.2015г.</v>
      </c>
      <c r="M11" s="227">
        <f>SUM(M5:M10)</f>
        <v>0</v>
      </c>
      <c r="N11" s="227">
        <f>SUM(N5:N10)</f>
        <v>175</v>
      </c>
      <c r="O11" s="227">
        <f>SUM(O5:O10)</f>
        <v>0</v>
      </c>
      <c r="P11" s="227">
        <f>SUM(P5:P10)</f>
        <v>175</v>
      </c>
      <c r="Q11" s="234"/>
      <c r="R11" s="237" t="str">
        <f>B11</f>
        <v>Салдо към 31.12.2015г.</v>
      </c>
      <c r="S11" s="227"/>
      <c r="T11" s="227"/>
      <c r="U11" s="227"/>
      <c r="V11" s="227">
        <f>SUM(V5:V10)</f>
        <v>0</v>
      </c>
      <c r="X11" s="558" t="s">
        <v>285</v>
      </c>
      <c r="Y11" s="558"/>
      <c r="Z11" s="227">
        <f>SUM(Z12:Z13)</f>
        <v>0</v>
      </c>
      <c r="AA11" s="227">
        <f>SUM(AA12:AA13)</f>
        <v>0</v>
      </c>
    </row>
    <row r="12" spans="2:27" ht="15" customHeight="1">
      <c r="B12" s="228" t="s">
        <v>87</v>
      </c>
      <c r="C12" s="306"/>
      <c r="D12" s="312"/>
      <c r="E12" s="313"/>
      <c r="F12" s="309">
        <v>404</v>
      </c>
      <c r="G12" s="310"/>
      <c r="H12" s="310">
        <v>1</v>
      </c>
      <c r="I12" s="310">
        <v>776</v>
      </c>
      <c r="J12" s="223">
        <f>SUM(C12:I12)</f>
        <v>1181</v>
      </c>
      <c r="K12" s="239"/>
      <c r="L12" s="228" t="s">
        <v>87</v>
      </c>
      <c r="M12" s="229"/>
      <c r="N12" s="238">
        <v>55</v>
      </c>
      <c r="O12" s="232"/>
      <c r="P12" s="223">
        <f>SUM(M12:O12)</f>
        <v>55</v>
      </c>
      <c r="R12" s="228" t="s">
        <v>87</v>
      </c>
      <c r="S12" s="229"/>
      <c r="T12" s="238"/>
      <c r="U12" s="232"/>
      <c r="V12" s="223">
        <f>SUM(S12:U12)</f>
        <v>0</v>
      </c>
      <c r="X12" s="551" t="s">
        <v>172</v>
      </c>
      <c r="Y12" s="552"/>
      <c r="Z12" s="309"/>
      <c r="AA12" s="309"/>
    </row>
    <row r="13" spans="2:27" ht="15" customHeight="1">
      <c r="B13" s="228" t="s">
        <v>88</v>
      </c>
      <c r="C13" s="306"/>
      <c r="D13" s="312"/>
      <c r="E13" s="313"/>
      <c r="F13" s="309">
        <v>2</v>
      </c>
      <c r="G13" s="310"/>
      <c r="H13" s="310"/>
      <c r="I13" s="310">
        <v>-460</v>
      </c>
      <c r="J13" s="223">
        <f>SUM(C13:I13)</f>
        <v>-458</v>
      </c>
      <c r="K13" s="240"/>
      <c r="L13" s="228" t="s">
        <v>88</v>
      </c>
      <c r="M13" s="229"/>
      <c r="N13" s="238"/>
      <c r="O13" s="232"/>
      <c r="P13" s="223">
        <f>SUM(M13:O13)</f>
        <v>0</v>
      </c>
      <c r="R13" s="228" t="s">
        <v>88</v>
      </c>
      <c r="S13" s="229"/>
      <c r="T13" s="238"/>
      <c r="U13" s="232"/>
      <c r="V13" s="223">
        <f>SUM(S13:U13)</f>
        <v>0</v>
      </c>
      <c r="X13" s="551" t="s">
        <v>286</v>
      </c>
      <c r="Y13" s="552"/>
      <c r="Z13" s="334"/>
      <c r="AA13" s="334"/>
    </row>
    <row r="14" spans="2:27" ht="15" customHeight="1">
      <c r="B14" s="228" t="s">
        <v>220</v>
      </c>
      <c r="C14" s="314"/>
      <c r="D14" s="312"/>
      <c r="E14" s="312"/>
      <c r="F14" s="310"/>
      <c r="G14" s="315"/>
      <c r="H14" s="315"/>
      <c r="I14" s="315"/>
      <c r="J14" s="223">
        <f>SUM(C14:I14)</f>
        <v>0</v>
      </c>
      <c r="K14" s="240"/>
      <c r="L14" s="228" t="s">
        <v>220</v>
      </c>
      <c r="M14" s="301"/>
      <c r="N14" s="302"/>
      <c r="O14" s="303"/>
      <c r="P14" s="223">
        <f>SUM(M14:O14)</f>
        <v>0</v>
      </c>
      <c r="R14" s="228" t="s">
        <v>220</v>
      </c>
      <c r="S14" s="301"/>
      <c r="T14" s="302"/>
      <c r="U14" s="303"/>
      <c r="V14" s="223">
        <f>SUM(S14:U14)</f>
        <v>0</v>
      </c>
      <c r="X14" s="553" t="s">
        <v>287</v>
      </c>
      <c r="Y14" s="554"/>
      <c r="Z14" s="227">
        <f>SUM(Z15:Z16)</f>
        <v>0</v>
      </c>
      <c r="AA14" s="227">
        <f>SUM(AA15:AA16)</f>
        <v>0</v>
      </c>
    </row>
    <row r="15" spans="2:27" ht="15" customHeight="1">
      <c r="B15" s="228" t="s">
        <v>219</v>
      </c>
      <c r="C15" s="314"/>
      <c r="D15" s="312"/>
      <c r="E15" s="312"/>
      <c r="F15" s="310"/>
      <c r="G15" s="315"/>
      <c r="H15" s="315"/>
      <c r="I15" s="315"/>
      <c r="J15" s="223">
        <f>SUM(C15:I15)</f>
        <v>0</v>
      </c>
      <c r="K15" s="240"/>
      <c r="L15" s="228" t="s">
        <v>219</v>
      </c>
      <c r="M15" s="301"/>
      <c r="N15" s="302"/>
      <c r="O15" s="303"/>
      <c r="P15" s="223">
        <f>SUM(M15:O15)</f>
        <v>0</v>
      </c>
      <c r="R15" s="228" t="s">
        <v>219</v>
      </c>
      <c r="S15" s="301"/>
      <c r="T15" s="302"/>
      <c r="U15" s="303"/>
      <c r="V15" s="223">
        <f>SUM(S15:U15)</f>
        <v>0</v>
      </c>
      <c r="X15" s="551" t="s">
        <v>34</v>
      </c>
      <c r="Y15" s="552"/>
      <c r="Z15" s="309"/>
      <c r="AA15" s="309"/>
    </row>
    <row r="16" spans="2:27" ht="15" customHeight="1">
      <c r="B16" s="228" t="s">
        <v>218</v>
      </c>
      <c r="C16" s="314"/>
      <c r="D16" s="312"/>
      <c r="E16" s="312"/>
      <c r="F16" s="310"/>
      <c r="G16" s="315"/>
      <c r="H16" s="315"/>
      <c r="I16" s="315"/>
      <c r="J16" s="223">
        <f>SUM(C16:I16)</f>
        <v>0</v>
      </c>
      <c r="K16" s="240"/>
      <c r="L16" s="228" t="s">
        <v>218</v>
      </c>
      <c r="M16" s="301"/>
      <c r="N16" s="302"/>
      <c r="O16" s="303"/>
      <c r="P16" s="223">
        <f>SUM(M16:O16)</f>
        <v>0</v>
      </c>
      <c r="R16" s="228" t="s">
        <v>218</v>
      </c>
      <c r="S16" s="301"/>
      <c r="T16" s="302"/>
      <c r="U16" s="303"/>
      <c r="V16" s="223">
        <f>SUM(S16:U16)</f>
        <v>0</v>
      </c>
      <c r="X16" s="551" t="s">
        <v>288</v>
      </c>
      <c r="Y16" s="552"/>
      <c r="Z16" s="334"/>
      <c r="AA16" s="334"/>
    </row>
    <row r="17" spans="2:27" ht="15" customHeight="1">
      <c r="B17" s="248" t="s">
        <v>745</v>
      </c>
      <c r="C17" s="242">
        <f>SUM(C11:C16)</f>
        <v>1510</v>
      </c>
      <c r="D17" s="242">
        <f aca="true" t="shared" si="4" ref="D17:I17">SUM(D11:D16)</f>
        <v>2670</v>
      </c>
      <c r="E17" s="242">
        <f t="shared" si="4"/>
        <v>0</v>
      </c>
      <c r="F17" s="242">
        <f t="shared" si="4"/>
        <v>47209</v>
      </c>
      <c r="G17" s="242">
        <f t="shared" si="4"/>
        <v>361</v>
      </c>
      <c r="H17" s="242">
        <f t="shared" si="4"/>
        <v>115</v>
      </c>
      <c r="I17" s="242">
        <f t="shared" si="4"/>
        <v>1084</v>
      </c>
      <c r="J17" s="243">
        <f>SUM(J11:J16)</f>
        <v>52949</v>
      </c>
      <c r="K17" s="244"/>
      <c r="L17" s="241" t="str">
        <f>B17</f>
        <v>Салдо към 31.12.2016г.</v>
      </c>
      <c r="M17" s="242">
        <f>SUM(M11:M16)</f>
        <v>0</v>
      </c>
      <c r="N17" s="242">
        <f>SUM(N11:N16)</f>
        <v>230</v>
      </c>
      <c r="O17" s="242">
        <f>SUM(O11:O16)</f>
        <v>0</v>
      </c>
      <c r="P17" s="243">
        <f>SUM(P11:P16)</f>
        <v>230</v>
      </c>
      <c r="Q17" s="245"/>
      <c r="R17" s="241" t="str">
        <f>B17</f>
        <v>Салдо към 31.12.2016г.</v>
      </c>
      <c r="S17" s="242">
        <f>SUM(S11:S16)</f>
        <v>0</v>
      </c>
      <c r="T17" s="242">
        <f>SUM(T11:T16)</f>
        <v>0</v>
      </c>
      <c r="U17" s="242">
        <f>SUM(U11:U16)</f>
        <v>0</v>
      </c>
      <c r="V17" s="243">
        <f>SUM(V11:V16)</f>
        <v>0</v>
      </c>
      <c r="X17" s="553" t="s">
        <v>289</v>
      </c>
      <c r="Y17" s="554"/>
      <c r="Z17" s="227">
        <f>SUM(Z18:Z19)</f>
        <v>0</v>
      </c>
      <c r="AA17" s="227">
        <f>SUM(AA18:AA19)</f>
        <v>0</v>
      </c>
    </row>
    <row r="18" spans="2:27" ht="15" customHeight="1">
      <c r="B18" s="219" t="s">
        <v>89</v>
      </c>
      <c r="C18" s="219"/>
      <c r="D18" s="246"/>
      <c r="E18" s="246"/>
      <c r="F18" s="221"/>
      <c r="G18" s="221"/>
      <c r="H18" s="221"/>
      <c r="I18" s="221"/>
      <c r="J18" s="221"/>
      <c r="K18" s="244"/>
      <c r="L18" s="219" t="s">
        <v>89</v>
      </c>
      <c r="M18" s="219"/>
      <c r="N18" s="246"/>
      <c r="O18" s="221"/>
      <c r="P18" s="221"/>
      <c r="Q18" s="245"/>
      <c r="R18" s="219" t="s">
        <v>89</v>
      </c>
      <c r="S18" s="219"/>
      <c r="T18" s="246"/>
      <c r="U18" s="221"/>
      <c r="V18" s="221"/>
      <c r="X18" s="551" t="s">
        <v>35</v>
      </c>
      <c r="Y18" s="552"/>
      <c r="Z18" s="309"/>
      <c r="AA18" s="309"/>
    </row>
    <row r="19" spans="2:27" ht="15" customHeight="1">
      <c r="B19" s="248" t="s">
        <v>687</v>
      </c>
      <c r="C19" s="249"/>
      <c r="D19" s="250">
        <v>87</v>
      </c>
      <c r="E19" s="299"/>
      <c r="F19" s="251">
        <v>8635</v>
      </c>
      <c r="G19" s="252">
        <v>259</v>
      </c>
      <c r="H19" s="252">
        <v>91</v>
      </c>
      <c r="I19" s="252"/>
      <c r="J19" s="252">
        <f aca="true" t="shared" si="5" ref="J19:J24">SUM(C19:I19)</f>
        <v>9072</v>
      </c>
      <c r="K19" s="244"/>
      <c r="L19" s="248" t="str">
        <f>B19</f>
        <v>Салдо към 31.12.2014г.</v>
      </c>
      <c r="M19" s="249"/>
      <c r="N19" s="250">
        <v>172</v>
      </c>
      <c r="O19" s="252"/>
      <c r="P19" s="252">
        <f aca="true" t="shared" si="6" ref="P19:P24">SUM(M19:O19)</f>
        <v>172</v>
      </c>
      <c r="Q19" s="245"/>
      <c r="R19" s="248" t="str">
        <f>B19</f>
        <v>Салдо към 31.12.2014г.</v>
      </c>
      <c r="S19" s="249"/>
      <c r="T19" s="250"/>
      <c r="U19" s="252"/>
      <c r="V19" s="252">
        <f aca="true" t="shared" si="7" ref="V19:V24">SUM(S19:U19)</f>
        <v>0</v>
      </c>
      <c r="X19" s="551" t="s">
        <v>290</v>
      </c>
      <c r="Y19" s="552"/>
      <c r="Z19" s="334"/>
      <c r="AA19" s="334"/>
    </row>
    <row r="20" spans="2:27" ht="15" customHeight="1">
      <c r="B20" s="228" t="s">
        <v>87</v>
      </c>
      <c r="C20" s="229"/>
      <c r="D20" s="238">
        <v>50</v>
      </c>
      <c r="E20" s="298"/>
      <c r="F20" s="231">
        <v>4120</v>
      </c>
      <c r="G20" s="232">
        <v>25</v>
      </c>
      <c r="H20" s="232">
        <v>6</v>
      </c>
      <c r="I20" s="232"/>
      <c r="J20" s="252">
        <f t="shared" si="5"/>
        <v>4201</v>
      </c>
      <c r="K20" s="244"/>
      <c r="L20" s="228" t="s">
        <v>87</v>
      </c>
      <c r="M20" s="229"/>
      <c r="N20" s="238">
        <v>2</v>
      </c>
      <c r="O20" s="232"/>
      <c r="P20" s="252">
        <f t="shared" si="6"/>
        <v>2</v>
      </c>
      <c r="Q20" s="245"/>
      <c r="R20" s="228" t="s">
        <v>87</v>
      </c>
      <c r="S20" s="229"/>
      <c r="T20" s="238"/>
      <c r="U20" s="232"/>
      <c r="V20" s="252">
        <f t="shared" si="7"/>
        <v>0</v>
      </c>
      <c r="X20" s="553" t="s">
        <v>291</v>
      </c>
      <c r="Y20" s="554"/>
      <c r="Z20" s="227">
        <f>SUM(Z21:Z22)</f>
        <v>0</v>
      </c>
      <c r="AA20" s="227">
        <f>SUM(AA21:AA22)</f>
        <v>0</v>
      </c>
    </row>
    <row r="21" spans="2:27" ht="15" customHeight="1">
      <c r="B21" s="228" t="s">
        <v>88</v>
      </c>
      <c r="C21" s="229"/>
      <c r="D21" s="238">
        <v>-2</v>
      </c>
      <c r="E21" s="298"/>
      <c r="F21" s="231"/>
      <c r="G21" s="232"/>
      <c r="H21" s="232"/>
      <c r="I21" s="232"/>
      <c r="J21" s="252">
        <f t="shared" si="5"/>
        <v>-2</v>
      </c>
      <c r="K21" s="244"/>
      <c r="L21" s="228" t="s">
        <v>88</v>
      </c>
      <c r="M21" s="229"/>
      <c r="N21" s="238"/>
      <c r="O21" s="232"/>
      <c r="P21" s="252">
        <f t="shared" si="6"/>
        <v>0</v>
      </c>
      <c r="Q21" s="245"/>
      <c r="R21" s="228" t="s">
        <v>88</v>
      </c>
      <c r="S21" s="229"/>
      <c r="T21" s="238"/>
      <c r="U21" s="232"/>
      <c r="V21" s="252">
        <f t="shared" si="7"/>
        <v>0</v>
      </c>
      <c r="X21" s="551" t="s">
        <v>173</v>
      </c>
      <c r="Y21" s="552"/>
      <c r="Z21" s="309"/>
      <c r="AA21" s="309"/>
    </row>
    <row r="22" spans="2:27" ht="15" customHeight="1">
      <c r="B22" s="228" t="s">
        <v>220</v>
      </c>
      <c r="C22" s="228"/>
      <c r="D22" s="238"/>
      <c r="E22" s="238"/>
      <c r="F22" s="232"/>
      <c r="G22" s="303"/>
      <c r="H22" s="303"/>
      <c r="I22" s="303"/>
      <c r="J22" s="252">
        <f t="shared" si="5"/>
        <v>0</v>
      </c>
      <c r="K22" s="244"/>
      <c r="L22" s="228" t="s">
        <v>220</v>
      </c>
      <c r="M22" s="228"/>
      <c r="N22" s="238"/>
      <c r="O22" s="231"/>
      <c r="P22" s="252">
        <f t="shared" si="6"/>
        <v>0</v>
      </c>
      <c r="Q22" s="245"/>
      <c r="R22" s="228" t="s">
        <v>220</v>
      </c>
      <c r="S22" s="228"/>
      <c r="T22" s="238"/>
      <c r="U22" s="231"/>
      <c r="V22" s="252">
        <f t="shared" si="7"/>
        <v>0</v>
      </c>
      <c r="X22" s="551" t="s">
        <v>292</v>
      </c>
      <c r="Y22" s="552"/>
      <c r="Z22" s="334"/>
      <c r="AA22" s="334"/>
    </row>
    <row r="23" spans="2:27" ht="15" customHeight="1">
      <c r="B23" s="228" t="s">
        <v>219</v>
      </c>
      <c r="C23" s="228"/>
      <c r="D23" s="238"/>
      <c r="E23" s="238"/>
      <c r="F23" s="232"/>
      <c r="G23" s="303"/>
      <c r="H23" s="303"/>
      <c r="I23" s="303"/>
      <c r="J23" s="252">
        <f t="shared" si="5"/>
        <v>0</v>
      </c>
      <c r="K23" s="244"/>
      <c r="L23" s="228" t="s">
        <v>219</v>
      </c>
      <c r="M23" s="228"/>
      <c r="N23" s="238"/>
      <c r="O23" s="231"/>
      <c r="P23" s="252">
        <f t="shared" si="6"/>
        <v>0</v>
      </c>
      <c r="Q23" s="245"/>
      <c r="R23" s="228" t="s">
        <v>219</v>
      </c>
      <c r="S23" s="228"/>
      <c r="T23" s="238"/>
      <c r="U23" s="231"/>
      <c r="V23" s="252">
        <f t="shared" si="7"/>
        <v>0</v>
      </c>
      <c r="X23" s="553" t="s">
        <v>293</v>
      </c>
      <c r="Y23" s="554"/>
      <c r="Z23" s="227">
        <f>SUM(Z24:Z25)</f>
        <v>0</v>
      </c>
      <c r="AA23" s="227">
        <f>SUM(AA24:AA25)</f>
        <v>0</v>
      </c>
    </row>
    <row r="24" spans="2:27" ht="15" customHeight="1">
      <c r="B24" s="228" t="s">
        <v>218</v>
      </c>
      <c r="C24" s="228"/>
      <c r="D24" s="238"/>
      <c r="E24" s="298"/>
      <c r="F24" s="231"/>
      <c r="G24" s="231"/>
      <c r="H24" s="231"/>
      <c r="I24" s="231"/>
      <c r="J24" s="252">
        <f t="shared" si="5"/>
        <v>0</v>
      </c>
      <c r="K24" s="244"/>
      <c r="L24" s="228" t="s">
        <v>218</v>
      </c>
      <c r="M24" s="228"/>
      <c r="N24" s="238"/>
      <c r="O24" s="231"/>
      <c r="P24" s="252">
        <f t="shared" si="6"/>
        <v>0</v>
      </c>
      <c r="Q24" s="245"/>
      <c r="R24" s="228" t="s">
        <v>218</v>
      </c>
      <c r="S24" s="228"/>
      <c r="T24" s="238"/>
      <c r="U24" s="231"/>
      <c r="V24" s="252">
        <f t="shared" si="7"/>
        <v>0</v>
      </c>
      <c r="X24" s="551" t="s">
        <v>174</v>
      </c>
      <c r="Y24" s="552"/>
      <c r="Z24" s="309"/>
      <c r="AA24" s="309"/>
    </row>
    <row r="25" spans="2:27" ht="15" customHeight="1">
      <c r="B25" s="248" t="s">
        <v>720</v>
      </c>
      <c r="C25" s="227">
        <f>SUM(C19:C24)</f>
        <v>0</v>
      </c>
      <c r="D25" s="227">
        <f aca="true" t="shared" si="8" ref="D25:I25">SUM(D19:D24)</f>
        <v>135</v>
      </c>
      <c r="E25" s="227">
        <f t="shared" si="8"/>
        <v>0</v>
      </c>
      <c r="F25" s="227">
        <f t="shared" si="8"/>
        <v>12755</v>
      </c>
      <c r="G25" s="227">
        <f t="shared" si="8"/>
        <v>284</v>
      </c>
      <c r="H25" s="227">
        <f t="shared" si="8"/>
        <v>97</v>
      </c>
      <c r="I25" s="227">
        <f t="shared" si="8"/>
        <v>0</v>
      </c>
      <c r="J25" s="227">
        <f>SUM(J19:J24)</f>
        <v>13271</v>
      </c>
      <c r="K25" s="244"/>
      <c r="L25" s="237" t="str">
        <f>B25</f>
        <v>Салдо към 31.12.2015г.</v>
      </c>
      <c r="M25" s="227">
        <f>SUM(M19:M24)</f>
        <v>0</v>
      </c>
      <c r="N25" s="227">
        <f>SUM(N19:N24)</f>
        <v>174</v>
      </c>
      <c r="O25" s="227">
        <f>SUM(O19:O24)</f>
        <v>0</v>
      </c>
      <c r="P25" s="227">
        <f>SUM(P19:P24)</f>
        <v>174</v>
      </c>
      <c r="Q25" s="245"/>
      <c r="R25" s="237" t="str">
        <f>B25</f>
        <v>Салдо към 31.12.2015г.</v>
      </c>
      <c r="S25" s="227">
        <f>SUM(S19:S24)</f>
        <v>0</v>
      </c>
      <c r="T25" s="227">
        <f>SUM(T19:T24)</f>
        <v>0</v>
      </c>
      <c r="U25" s="227">
        <f>SUM(U19:U24)</f>
        <v>0</v>
      </c>
      <c r="V25" s="227">
        <f>SUM(V19:V24)</f>
        <v>0</v>
      </c>
      <c r="X25" s="555" t="s">
        <v>294</v>
      </c>
      <c r="Y25" s="555"/>
      <c r="Z25" s="334"/>
      <c r="AA25" s="334"/>
    </row>
    <row r="26" spans="2:27" ht="15" customHeight="1">
      <c r="B26" s="228" t="s">
        <v>87</v>
      </c>
      <c r="C26" s="229"/>
      <c r="D26" s="238">
        <v>50</v>
      </c>
      <c r="E26" s="298"/>
      <c r="F26" s="231">
        <v>4039</v>
      </c>
      <c r="G26" s="232">
        <v>25</v>
      </c>
      <c r="H26" s="232">
        <v>5</v>
      </c>
      <c r="I26" s="232"/>
      <c r="J26" s="252">
        <f>SUM(C26:I26)</f>
        <v>4119</v>
      </c>
      <c r="K26" s="244"/>
      <c r="L26" s="228" t="s">
        <v>87</v>
      </c>
      <c r="M26" s="229"/>
      <c r="N26" s="238">
        <v>6</v>
      </c>
      <c r="O26" s="232"/>
      <c r="P26" s="252">
        <f>SUM(M26:O26)</f>
        <v>6</v>
      </c>
      <c r="Q26" s="245"/>
      <c r="R26" s="228" t="s">
        <v>87</v>
      </c>
      <c r="S26" s="229"/>
      <c r="T26" s="238"/>
      <c r="U26" s="232"/>
      <c r="V26" s="252">
        <f>SUM(S26:U26)</f>
        <v>0</v>
      </c>
      <c r="X26" s="550" t="s">
        <v>85</v>
      </c>
      <c r="Y26" s="550"/>
      <c r="Z26" s="247">
        <f>Z5+Z8+Z11+Z14+Z17+Z20+Z23</f>
        <v>0</v>
      </c>
      <c r="AA26" s="247">
        <f>AA5+AA8+AA11+AA14+AA17+AA20+AA23</f>
        <v>0</v>
      </c>
    </row>
    <row r="27" spans="2:27" ht="15" customHeight="1">
      <c r="B27" s="228" t="s">
        <v>88</v>
      </c>
      <c r="C27" s="229"/>
      <c r="D27" s="238"/>
      <c r="E27" s="298"/>
      <c r="F27" s="231"/>
      <c r="G27" s="232"/>
      <c r="H27" s="232"/>
      <c r="I27" s="232"/>
      <c r="J27" s="252">
        <f>SUM(C27:I27)</f>
        <v>0</v>
      </c>
      <c r="K27" s="244"/>
      <c r="L27" s="228" t="s">
        <v>88</v>
      </c>
      <c r="M27" s="229"/>
      <c r="N27" s="238"/>
      <c r="O27" s="232"/>
      <c r="P27" s="252">
        <f>SUM(M27:O27)</f>
        <v>0</v>
      </c>
      <c r="Q27" s="254"/>
      <c r="R27" s="228" t="s">
        <v>88</v>
      </c>
      <c r="S27" s="229"/>
      <c r="T27" s="238"/>
      <c r="U27" s="232"/>
      <c r="V27" s="252">
        <f>SUM(S27:U27)</f>
        <v>0</v>
      </c>
      <c r="X27" s="253"/>
      <c r="Y27" s="253"/>
      <c r="Z27" s="253"/>
      <c r="AA27" s="253"/>
    </row>
    <row r="28" spans="2:27" ht="15" customHeight="1">
      <c r="B28" s="228" t="s">
        <v>220</v>
      </c>
      <c r="C28" s="301"/>
      <c r="D28" s="238"/>
      <c r="E28" s="238"/>
      <c r="F28" s="232"/>
      <c r="G28" s="303"/>
      <c r="H28" s="303"/>
      <c r="I28" s="303"/>
      <c r="J28" s="252">
        <f>SUM(C28:I28)</f>
        <v>0</v>
      </c>
      <c r="K28" s="244"/>
      <c r="L28" s="228" t="s">
        <v>220</v>
      </c>
      <c r="M28" s="301"/>
      <c r="N28" s="302"/>
      <c r="O28" s="303"/>
      <c r="P28" s="252">
        <f>SUM(M28:O28)</f>
        <v>0</v>
      </c>
      <c r="Q28" s="254"/>
      <c r="R28" s="228" t="s">
        <v>220</v>
      </c>
      <c r="S28" s="301"/>
      <c r="T28" s="302"/>
      <c r="U28" s="303"/>
      <c r="V28" s="252">
        <f>SUM(S28:U28)</f>
        <v>0</v>
      </c>
      <c r="X28" s="253"/>
      <c r="Y28" s="253"/>
      <c r="Z28" s="253"/>
      <c r="AA28" s="253"/>
    </row>
    <row r="29" spans="2:27" ht="15" customHeight="1">
      <c r="B29" s="228" t="s">
        <v>219</v>
      </c>
      <c r="C29" s="301"/>
      <c r="D29" s="238"/>
      <c r="E29" s="238"/>
      <c r="F29" s="232"/>
      <c r="G29" s="303"/>
      <c r="H29" s="303"/>
      <c r="I29" s="303"/>
      <c r="J29" s="252">
        <f>SUM(C29:I29)</f>
        <v>0</v>
      </c>
      <c r="K29" s="244"/>
      <c r="L29" s="228" t="s">
        <v>219</v>
      </c>
      <c r="M29" s="301"/>
      <c r="N29" s="302"/>
      <c r="O29" s="303"/>
      <c r="P29" s="252">
        <f>SUM(M29:O29)</f>
        <v>0</v>
      </c>
      <c r="Q29" s="254"/>
      <c r="R29" s="228" t="s">
        <v>219</v>
      </c>
      <c r="S29" s="301"/>
      <c r="T29" s="302"/>
      <c r="U29" s="303"/>
      <c r="V29" s="252">
        <f>SUM(S29:U29)</f>
        <v>0</v>
      </c>
      <c r="X29" s="253"/>
      <c r="Y29" s="253"/>
      <c r="Z29" s="253"/>
      <c r="AA29" s="253"/>
    </row>
    <row r="30" spans="2:27" ht="15" customHeight="1">
      <c r="B30" s="228" t="s">
        <v>218</v>
      </c>
      <c r="C30" s="301"/>
      <c r="D30" s="238"/>
      <c r="E30" s="238"/>
      <c r="F30" s="232"/>
      <c r="G30" s="303"/>
      <c r="H30" s="303"/>
      <c r="I30" s="303"/>
      <c r="J30" s="252">
        <f>SUM(C30:I30)</f>
        <v>0</v>
      </c>
      <c r="K30" s="244"/>
      <c r="L30" s="228" t="s">
        <v>218</v>
      </c>
      <c r="M30" s="301"/>
      <c r="N30" s="302"/>
      <c r="O30" s="303"/>
      <c r="P30" s="252">
        <f>SUM(M30:O30)</f>
        <v>0</v>
      </c>
      <c r="Q30" s="254"/>
      <c r="R30" s="228" t="s">
        <v>218</v>
      </c>
      <c r="S30" s="301"/>
      <c r="T30" s="302"/>
      <c r="U30" s="303"/>
      <c r="V30" s="252">
        <f>SUM(S30:U30)</f>
        <v>0</v>
      </c>
      <c r="X30" s="253"/>
      <c r="Y30" s="253"/>
      <c r="Z30" s="253"/>
      <c r="AA30" s="253"/>
    </row>
    <row r="31" spans="2:27" s="255" customFormat="1" ht="19.5" customHeight="1">
      <c r="B31" s="248" t="s">
        <v>746</v>
      </c>
      <c r="C31" s="242">
        <f>SUM(C25:C30)</f>
        <v>0</v>
      </c>
      <c r="D31" s="242">
        <f aca="true" t="shared" si="9" ref="D31:J31">SUM(D25:D30)</f>
        <v>185</v>
      </c>
      <c r="E31" s="242">
        <f t="shared" si="9"/>
        <v>0</v>
      </c>
      <c r="F31" s="242">
        <f t="shared" si="9"/>
        <v>16794</v>
      </c>
      <c r="G31" s="242">
        <f t="shared" si="9"/>
        <v>309</v>
      </c>
      <c r="H31" s="242">
        <f t="shared" si="9"/>
        <v>102</v>
      </c>
      <c r="I31" s="242">
        <f t="shared" si="9"/>
        <v>0</v>
      </c>
      <c r="J31" s="242">
        <f t="shared" si="9"/>
        <v>17390</v>
      </c>
      <c r="K31" s="244"/>
      <c r="L31" s="241" t="str">
        <f>B31</f>
        <v>Салдо към 31.12.2016г..</v>
      </c>
      <c r="M31" s="242">
        <f>SUM(M25:M30)</f>
        <v>0</v>
      </c>
      <c r="N31" s="242">
        <f>SUM(N25:N30)</f>
        <v>180</v>
      </c>
      <c r="O31" s="242">
        <f>SUM(O25:O30)</f>
        <v>0</v>
      </c>
      <c r="P31" s="242">
        <f>SUM(P25:P30)</f>
        <v>180</v>
      </c>
      <c r="Q31" s="254"/>
      <c r="R31" s="241" t="str">
        <f>B31</f>
        <v>Салдо към 31.12.2016г..</v>
      </c>
      <c r="S31" s="242">
        <f>SUM(S25:S30)</f>
        <v>0</v>
      </c>
      <c r="T31" s="242">
        <f>SUM(T25:T30)</f>
        <v>0</v>
      </c>
      <c r="U31" s="242">
        <f>SUM(U25:U30)</f>
        <v>0</v>
      </c>
      <c r="V31" s="242">
        <f>SUM(V25:V30)</f>
        <v>0</v>
      </c>
      <c r="X31" s="253"/>
      <c r="Y31" s="253"/>
      <c r="Z31" s="253"/>
      <c r="AA31" s="253"/>
    </row>
    <row r="32" spans="2:27" ht="15" customHeight="1">
      <c r="B32" s="219" t="s">
        <v>90</v>
      </c>
      <c r="C32" s="256"/>
      <c r="D32" s="246"/>
      <c r="E32" s="246"/>
      <c r="F32" s="257"/>
      <c r="G32" s="257"/>
      <c r="H32" s="257"/>
      <c r="I32" s="257"/>
      <c r="J32" s="257"/>
      <c r="K32" s="258"/>
      <c r="L32" s="219" t="s">
        <v>90</v>
      </c>
      <c r="M32" s="256"/>
      <c r="N32" s="246"/>
      <c r="O32" s="257"/>
      <c r="P32" s="257"/>
      <c r="R32" s="219" t="s">
        <v>90</v>
      </c>
      <c r="S32" s="256"/>
      <c r="T32" s="246"/>
      <c r="U32" s="257"/>
      <c r="V32" s="257"/>
      <c r="X32" s="253"/>
      <c r="Y32" s="253"/>
      <c r="Z32" s="253"/>
      <c r="AA32" s="253"/>
    </row>
    <row r="33" spans="2:27" ht="23.25" customHeight="1">
      <c r="B33" s="259" t="s">
        <v>721</v>
      </c>
      <c r="C33" s="260">
        <f aca="true" t="shared" si="10" ref="C33:I33">C11-C25</f>
        <v>1510</v>
      </c>
      <c r="D33" s="260">
        <f t="shared" si="10"/>
        <v>2535</v>
      </c>
      <c r="E33" s="260">
        <f t="shared" si="10"/>
        <v>0</v>
      </c>
      <c r="F33" s="260">
        <f t="shared" si="10"/>
        <v>34048</v>
      </c>
      <c r="G33" s="260">
        <f t="shared" si="10"/>
        <v>77</v>
      </c>
      <c r="H33" s="260">
        <f t="shared" si="10"/>
        <v>17</v>
      </c>
      <c r="I33" s="260">
        <f t="shared" si="10"/>
        <v>768</v>
      </c>
      <c r="J33" s="260">
        <f>J11-J25</f>
        <v>38955</v>
      </c>
      <c r="K33" s="244"/>
      <c r="L33" s="259" t="str">
        <f>B33</f>
        <v>Балансова стойност към 31.12.2015г.</v>
      </c>
      <c r="M33" s="260">
        <f>M11-M25</f>
        <v>0</v>
      </c>
      <c r="N33" s="260">
        <f>N11-N25</f>
        <v>1</v>
      </c>
      <c r="O33" s="260">
        <f>O11-O25</f>
        <v>0</v>
      </c>
      <c r="P33" s="260">
        <f>P11-P25</f>
        <v>1</v>
      </c>
      <c r="Q33" s="245"/>
      <c r="R33" s="259" t="str">
        <f>B33</f>
        <v>Балансова стойност към 31.12.2015г.</v>
      </c>
      <c r="S33" s="260">
        <f>S11-S25</f>
        <v>0</v>
      </c>
      <c r="T33" s="260">
        <f>T11-T25</f>
        <v>0</v>
      </c>
      <c r="U33" s="260">
        <f>U11-U25</f>
        <v>0</v>
      </c>
      <c r="V33" s="260">
        <f>V11-V25</f>
        <v>0</v>
      </c>
      <c r="X33" s="253"/>
      <c r="Y33" s="253"/>
      <c r="Z33" s="253"/>
      <c r="AA33" s="253"/>
    </row>
    <row r="34" spans="2:27" ht="23.25" customHeight="1">
      <c r="B34" s="259" t="s">
        <v>747</v>
      </c>
      <c r="C34" s="243">
        <f aca="true" t="shared" si="11" ref="C34:I34">C17-C31</f>
        <v>1510</v>
      </c>
      <c r="D34" s="243">
        <f t="shared" si="11"/>
        <v>2485</v>
      </c>
      <c r="E34" s="243">
        <f t="shared" si="11"/>
        <v>0</v>
      </c>
      <c r="F34" s="243">
        <f t="shared" si="11"/>
        <v>30415</v>
      </c>
      <c r="G34" s="243">
        <f t="shared" si="11"/>
        <v>52</v>
      </c>
      <c r="H34" s="243">
        <f t="shared" si="11"/>
        <v>13</v>
      </c>
      <c r="I34" s="243">
        <f t="shared" si="11"/>
        <v>1084</v>
      </c>
      <c r="J34" s="243">
        <f>J17-J31</f>
        <v>35559</v>
      </c>
      <c r="K34" s="244"/>
      <c r="L34" s="261" t="str">
        <f>B34</f>
        <v>Балансова стойност към 31.12.2016г.</v>
      </c>
      <c r="M34" s="243">
        <f>M17-M31</f>
        <v>0</v>
      </c>
      <c r="N34" s="243">
        <f>N17-N31</f>
        <v>50</v>
      </c>
      <c r="O34" s="243">
        <f>O17-O31</f>
        <v>0</v>
      </c>
      <c r="P34" s="243">
        <f>P17-P31</f>
        <v>50</v>
      </c>
      <c r="Q34" s="245"/>
      <c r="R34" s="261" t="str">
        <f>B34</f>
        <v>Балансова стойност към 31.12.2016г.</v>
      </c>
      <c r="S34" s="243">
        <f>S17-S31</f>
        <v>0</v>
      </c>
      <c r="T34" s="243">
        <f>T17-T31</f>
        <v>0</v>
      </c>
      <c r="U34" s="243">
        <f>U17-U31</f>
        <v>0</v>
      </c>
      <c r="V34" s="243">
        <f>V17-V31</f>
        <v>0</v>
      </c>
      <c r="X34" s="253"/>
      <c r="Y34" s="253"/>
      <c r="Z34" s="253"/>
      <c r="AA34" s="253"/>
    </row>
    <row r="35" spans="2:27" ht="15">
      <c r="B35" s="262"/>
      <c r="C35" s="262"/>
      <c r="F35" s="263" t="s">
        <v>30</v>
      </c>
      <c r="G35" s="264"/>
      <c r="H35" s="264"/>
      <c r="I35" s="264"/>
      <c r="J35" s="244"/>
      <c r="K35" s="244"/>
      <c r="L35" s="264"/>
      <c r="M35" s="264"/>
      <c r="N35" s="264"/>
      <c r="O35" s="264"/>
      <c r="P35" s="244"/>
      <c r="Q35" s="245"/>
      <c r="R35" s="245"/>
      <c r="X35" s="253"/>
      <c r="Y35" s="253"/>
      <c r="Z35" s="253"/>
      <c r="AA35" s="253"/>
    </row>
    <row r="36" spans="2:27" ht="15">
      <c r="B36" s="262"/>
      <c r="C36" s="262"/>
      <c r="F36" s="263"/>
      <c r="G36" s="264"/>
      <c r="H36" s="264"/>
      <c r="I36" s="264"/>
      <c r="J36" s="244"/>
      <c r="K36" s="244"/>
      <c r="L36" s="264"/>
      <c r="M36" s="264"/>
      <c r="N36" s="264"/>
      <c r="O36" s="264"/>
      <c r="P36" s="244"/>
      <c r="Q36" s="245"/>
      <c r="R36" s="245"/>
      <c r="X36" s="253"/>
      <c r="Y36" s="253"/>
      <c r="Z36" s="253"/>
      <c r="AA36" s="253"/>
    </row>
    <row r="37" spans="2:27" ht="15">
      <c r="B37" s="262"/>
      <c r="C37" s="262"/>
      <c r="F37" s="263"/>
      <c r="G37" s="264"/>
      <c r="H37" s="264"/>
      <c r="I37" s="264"/>
      <c r="J37" s="244"/>
      <c r="K37" s="244"/>
      <c r="L37" s="264"/>
      <c r="M37" s="264"/>
      <c r="N37" s="264"/>
      <c r="O37" s="264"/>
      <c r="P37" s="244"/>
      <c r="Q37" s="245"/>
      <c r="R37" s="245"/>
      <c r="X37" s="253"/>
      <c r="Y37" s="253"/>
      <c r="Z37" s="253"/>
      <c r="AA37" s="253"/>
    </row>
    <row r="38" spans="2:28" ht="15" customHeight="1">
      <c r="B38" s="266"/>
      <c r="C38" s="548">
        <f>IF(J38="","","Разлика в ДМА между СПРАВКАТА и БАЛАНСА, в предходния период!")</f>
      </c>
      <c r="D38" s="548"/>
      <c r="E38" s="548"/>
      <c r="F38" s="548"/>
      <c r="G38" s="548"/>
      <c r="H38" s="548"/>
      <c r="I38" s="548"/>
      <c r="J38" s="409">
        <f>IF(J$33=баланс!G$8,"",J33-баланс!G$8)</f>
      </c>
      <c r="K38" s="244"/>
      <c r="L38" s="546">
        <f>IF(P38="","","Разлика в ДНА между СПРАВКАТА и БАЛАНСА, в предходния период!")</f>
      </c>
      <c r="M38" s="546"/>
      <c r="N38" s="546"/>
      <c r="O38" s="546"/>
      <c r="P38" s="544">
        <f>IF(P$33=баланс!G$9,"",P33-баланс!G$9)</f>
      </c>
      <c r="Q38" s="254"/>
      <c r="R38" s="546" t="e">
        <f>IF(V38="","","Разлика в ДНА между СПРАВКАТА и БАЛАНСА, в предходния период!")</f>
        <v>#REF!</v>
      </c>
      <c r="S38" s="546"/>
      <c r="T38" s="546"/>
      <c r="U38" s="546"/>
      <c r="V38" s="544" t="e">
        <f>IF(V$33=баланс!#REF!,"",V33-баланс!#REF!)</f>
        <v>#REF!</v>
      </c>
      <c r="X38" s="545" t="e">
        <f>IF(AB38="","","Разлика в активите държани за продажба между СПРАВКАТА и БАЛАНСА, в предходния период!")</f>
        <v>#REF!</v>
      </c>
      <c r="Y38" s="545"/>
      <c r="Z38" s="545"/>
      <c r="AA38" s="545"/>
      <c r="AB38" s="544" t="e">
        <f>IF(AA$26=баланс!#REF!,"",AA$26-баланс!#REF!)</f>
        <v>#REF!</v>
      </c>
    </row>
    <row r="39" spans="2:28" s="255" customFormat="1" ht="15">
      <c r="B39" s="266"/>
      <c r="C39" s="549"/>
      <c r="D39" s="549"/>
      <c r="E39" s="549"/>
      <c r="F39" s="549"/>
      <c r="G39" s="549"/>
      <c r="H39" s="543">
        <f>IF(J38="","","Сума по баланс:")</f>
      </c>
      <c r="I39" s="543"/>
      <c r="J39" s="412">
        <f>IF(J$33=баланс!G$8,"",баланс!G$8)</f>
      </c>
      <c r="K39" s="244"/>
      <c r="L39" s="546"/>
      <c r="M39" s="546"/>
      <c r="N39" s="546"/>
      <c r="O39" s="546"/>
      <c r="P39" s="544"/>
      <c r="Q39" s="254"/>
      <c r="R39" s="546"/>
      <c r="S39" s="546"/>
      <c r="T39" s="546"/>
      <c r="U39" s="546"/>
      <c r="V39" s="544"/>
      <c r="X39" s="545"/>
      <c r="Y39" s="545"/>
      <c r="Z39" s="545"/>
      <c r="AA39" s="545"/>
      <c r="AB39" s="544"/>
    </row>
    <row r="40" spans="2:68" ht="15">
      <c r="B40" s="266"/>
      <c r="C40" s="548">
        <f>IF(J40="","","Разлика в ДМА между СПРАВКАТА и БАЛАНСА, в текущия период!")</f>
      </c>
      <c r="D40" s="548"/>
      <c r="E40" s="548"/>
      <c r="F40" s="548"/>
      <c r="G40" s="548"/>
      <c r="H40" s="548"/>
      <c r="I40" s="548"/>
      <c r="J40" s="409">
        <f>IF(J$34=баланс!E$8,"",J34-баланс!E$8)</f>
      </c>
      <c r="K40" s="244"/>
      <c r="L40" s="547"/>
      <c r="M40" s="547"/>
      <c r="N40" s="543">
        <f>IF(P38="","","Сума по баланс:")</f>
      </c>
      <c r="O40" s="543"/>
      <c r="P40" s="412">
        <f>IF(P$33=баланс!G$9,"",баланс!G$9)</f>
      </c>
      <c r="Q40" s="245"/>
      <c r="R40" s="547"/>
      <c r="S40" s="547"/>
      <c r="T40" s="543" t="e">
        <f>IF(V38="","","Сума по баланс:")</f>
        <v>#REF!</v>
      </c>
      <c r="U40" s="543"/>
      <c r="V40" s="412" t="e">
        <f>IF(V$33=баланс!#REF!,"",баланс!#REF!)</f>
        <v>#REF!</v>
      </c>
      <c r="W40" s="245"/>
      <c r="X40" s="425"/>
      <c r="Y40" s="425"/>
      <c r="Z40" s="543" t="e">
        <f>IF(AB38="","","Сума по баланс:")</f>
        <v>#REF!</v>
      </c>
      <c r="AA40" s="543"/>
      <c r="AB40" s="412" t="e">
        <f>IF(AA$26=баланс!#REF!,"",баланс!#REF!)</f>
        <v>#REF!</v>
      </c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</row>
    <row r="41" spans="2:68" ht="15">
      <c r="B41" s="266"/>
      <c r="C41" s="411"/>
      <c r="D41" s="408"/>
      <c r="E41" s="408"/>
      <c r="F41" s="407"/>
      <c r="G41" s="410"/>
      <c r="H41" s="543">
        <f>IF(J40="","","Сума по баланс:")</f>
      </c>
      <c r="I41" s="543"/>
      <c r="J41" s="412">
        <f>IF(J$34=баланс!E$8,"",баланс!E$8)</f>
      </c>
      <c r="K41" s="265"/>
      <c r="L41" s="546">
        <f>IF(P41="","","Разлика в ДНА между СПРАВКАТА и БАЛАНСА, в текущия период!")</f>
      </c>
      <c r="M41" s="546"/>
      <c r="N41" s="546"/>
      <c r="O41" s="546"/>
      <c r="P41" s="544">
        <f>IF(P$34=баланс!E$9,"",P34-баланс!E$9)</f>
      </c>
      <c r="Q41" s="245"/>
      <c r="R41" s="546" t="e">
        <f>IF(V41="","","Разлика в ДНА между СПРАВКАТА и БАЛАНСА, в текущия период!")</f>
        <v>#REF!</v>
      </c>
      <c r="S41" s="546"/>
      <c r="T41" s="546"/>
      <c r="U41" s="546"/>
      <c r="V41" s="544" t="e">
        <f>IF(V$34=баланс!#REF!,"",V34-баланс!#REF!)</f>
        <v>#REF!</v>
      </c>
      <c r="W41" s="245"/>
      <c r="X41" s="545" t="e">
        <f>IF(AB41="","","Разлика в активите държани за продажба между СПРАВКАТА и БАЛАНСА, в текущия период!")</f>
        <v>#REF!</v>
      </c>
      <c r="Y41" s="545"/>
      <c r="Z41" s="545"/>
      <c r="AA41" s="545"/>
      <c r="AB41" s="544" t="e">
        <f>IF(Z$26=баланс!#REF!,"",Z$26-баланс!#REF!)</f>
        <v>#REF!</v>
      </c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</row>
    <row r="42" spans="2:68" ht="15">
      <c r="B42" s="266"/>
      <c r="C42" s="266"/>
      <c r="F42" s="263"/>
      <c r="G42" s="267"/>
      <c r="H42" s="267"/>
      <c r="I42" s="267"/>
      <c r="J42" s="244"/>
      <c r="K42" s="244"/>
      <c r="L42" s="546"/>
      <c r="M42" s="546"/>
      <c r="N42" s="546"/>
      <c r="O42" s="546"/>
      <c r="P42" s="544"/>
      <c r="Q42" s="245"/>
      <c r="R42" s="546"/>
      <c r="S42" s="546"/>
      <c r="T42" s="546"/>
      <c r="U42" s="546"/>
      <c r="V42" s="544"/>
      <c r="W42" s="245"/>
      <c r="X42" s="545"/>
      <c r="Y42" s="545"/>
      <c r="Z42" s="545"/>
      <c r="AA42" s="545"/>
      <c r="AB42" s="54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</row>
    <row r="43" spans="2:68" ht="15">
      <c r="B43" s="542">
        <f>IF(J43="","","Разлика в разходите за амортизации между СПРАВКАТА и ОПР в предходния период!")</f>
      </c>
      <c r="C43" s="542"/>
      <c r="D43" s="542"/>
      <c r="E43" s="542"/>
      <c r="F43" s="542"/>
      <c r="G43" s="542"/>
      <c r="H43" s="542"/>
      <c r="I43" s="542"/>
      <c r="J43" s="409">
        <f>IF(J20+P20+V20=ОПР!G21,"",J20+P20+V20-ОПР!G21)</f>
      </c>
      <c r="K43" s="244"/>
      <c r="L43" s="406"/>
      <c r="M43" s="406"/>
      <c r="N43" s="543">
        <f>IF(P41="","","Сума по баланс:")</f>
      </c>
      <c r="O43" s="543"/>
      <c r="P43" s="412">
        <f>IF(P$34=баланс!E$9,"",баланс!E9)</f>
      </c>
      <c r="Q43" s="245"/>
      <c r="R43" s="406"/>
      <c r="S43" s="406"/>
      <c r="T43" s="543" t="e">
        <f>IF(V41="","","Сума по баланс:")</f>
        <v>#REF!</v>
      </c>
      <c r="U43" s="543"/>
      <c r="V43" s="412" t="e">
        <f>IF(V$34=баланс!#REF!,"",баланс!#REF!)</f>
        <v>#REF!</v>
      </c>
      <c r="W43" s="245"/>
      <c r="X43" s="424"/>
      <c r="Y43" s="424"/>
      <c r="Z43" s="543" t="e">
        <f>IF(AB41="","","Сума по баланс:")</f>
        <v>#REF!</v>
      </c>
      <c r="AA43" s="543"/>
      <c r="AB43" s="412" t="e">
        <f>IF(Z$26=баланс!#REF!,"",баланс!#REF!)</f>
        <v>#REF!</v>
      </c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</row>
    <row r="44" spans="2:68" ht="15">
      <c r="B44" s="542">
        <f>IF($J43="","","Общо разходи за амортизации на всички активи в спраката, за предходния период:")</f>
      </c>
      <c r="C44" s="542"/>
      <c r="D44" s="542"/>
      <c r="E44" s="542"/>
      <c r="F44" s="542"/>
      <c r="G44" s="542"/>
      <c r="H44" s="542"/>
      <c r="I44" s="542"/>
      <c r="J44" s="409">
        <f>IF($J43="","",J20+P20+V20)</f>
      </c>
      <c r="K44" s="244"/>
      <c r="L44" s="264"/>
      <c r="M44" s="264"/>
      <c r="N44" s="264"/>
      <c r="O44" s="264"/>
      <c r="P44" s="244"/>
      <c r="Q44" s="245"/>
      <c r="R44" s="245"/>
      <c r="S44" s="245"/>
      <c r="T44" s="245"/>
      <c r="U44" s="245"/>
      <c r="V44" s="245"/>
      <c r="W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</row>
    <row r="45" spans="2:68" ht="13.5" customHeight="1">
      <c r="B45" s="541">
        <f>IF(J43="","","Разходи за амортизации в ОПР за предходния период:")</f>
      </c>
      <c r="C45" s="541"/>
      <c r="D45" s="541"/>
      <c r="E45" s="541"/>
      <c r="F45" s="541"/>
      <c r="G45" s="541"/>
      <c r="H45" s="541"/>
      <c r="I45" s="541"/>
      <c r="J45" s="412">
        <f>IF($J43="","",ОПР!G21)</f>
      </c>
      <c r="K45" s="244"/>
      <c r="L45" s="264"/>
      <c r="M45" s="264"/>
      <c r="N45" s="264"/>
      <c r="O45" s="264"/>
      <c r="P45" s="244"/>
      <c r="Q45" s="245"/>
      <c r="R45" s="245"/>
      <c r="S45" s="245"/>
      <c r="T45" s="245"/>
      <c r="U45" s="245"/>
      <c r="V45" s="245"/>
      <c r="W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</row>
    <row r="46" spans="2:68" ht="15">
      <c r="B46" s="542">
        <f>IF(J46="","","Разлика в разходите за амортизации между СПРАВКАТА и ОПР в текущия период период!")</f>
      </c>
      <c r="C46" s="542"/>
      <c r="D46" s="542"/>
      <c r="E46" s="542"/>
      <c r="F46" s="542"/>
      <c r="G46" s="542"/>
      <c r="H46" s="542"/>
      <c r="I46" s="542"/>
      <c r="J46" s="409">
        <f>IF(J26+P26+V26=ОПР!E21,"",J26+P26+V26-ОПР!E21)</f>
      </c>
      <c r="K46" s="244"/>
      <c r="L46" s="264"/>
      <c r="M46" s="264"/>
      <c r="N46" s="264"/>
      <c r="O46" s="264"/>
      <c r="P46" s="244"/>
      <c r="Q46" s="245"/>
      <c r="R46" s="245"/>
      <c r="S46" s="245"/>
      <c r="T46" s="245"/>
      <c r="U46" s="245"/>
      <c r="V46" s="245"/>
      <c r="W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</row>
    <row r="47" spans="2:68" ht="15">
      <c r="B47" s="542">
        <f>IF($J46="","","Общо разходи за амортизации на всички активи в спраката, за текущия период:")</f>
      </c>
      <c r="C47" s="542"/>
      <c r="D47" s="542"/>
      <c r="E47" s="542"/>
      <c r="F47" s="542"/>
      <c r="G47" s="542"/>
      <c r="H47" s="542"/>
      <c r="I47" s="542"/>
      <c r="J47" s="409">
        <f>IF($J46="","",J26+P26+V26)</f>
      </c>
      <c r="K47" s="244"/>
      <c r="L47" s="264"/>
      <c r="M47" s="264"/>
      <c r="N47" s="264"/>
      <c r="O47" s="264"/>
      <c r="P47" s="244"/>
      <c r="Q47" s="245"/>
      <c r="R47" s="245"/>
      <c r="S47" s="245"/>
      <c r="T47" s="245"/>
      <c r="U47" s="245"/>
      <c r="V47" s="245"/>
      <c r="W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</row>
    <row r="48" spans="2:68" ht="15">
      <c r="B48" s="541">
        <f>IF(J46="","","Разходи за амортизации в ОПР за текущия период:")</f>
      </c>
      <c r="C48" s="541"/>
      <c r="D48" s="541"/>
      <c r="E48" s="541"/>
      <c r="F48" s="541"/>
      <c r="G48" s="541"/>
      <c r="H48" s="541"/>
      <c r="I48" s="541"/>
      <c r="J48" s="412">
        <f>IF($J46="","",ОПР!E21)</f>
      </c>
      <c r="K48" s="244"/>
      <c r="L48" s="264"/>
      <c r="M48" s="264"/>
      <c r="N48" s="264"/>
      <c r="O48" s="264"/>
      <c r="P48" s="244"/>
      <c r="Q48" s="245"/>
      <c r="R48" s="245"/>
      <c r="S48" s="245"/>
      <c r="T48" s="245"/>
      <c r="U48" s="245"/>
      <c r="V48" s="245"/>
      <c r="W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</row>
    <row r="49" spans="2:68" ht="15">
      <c r="B49" s="268"/>
      <c r="C49" s="268"/>
      <c r="F49" s="263"/>
      <c r="G49" s="267"/>
      <c r="H49" s="267"/>
      <c r="I49" s="267"/>
      <c r="K49" s="244"/>
      <c r="L49" s="264"/>
      <c r="M49" s="264"/>
      <c r="N49" s="264"/>
      <c r="O49" s="264"/>
      <c r="P49" s="244"/>
      <c r="Q49" s="245"/>
      <c r="R49" s="245"/>
      <c r="S49" s="245"/>
      <c r="T49" s="245"/>
      <c r="U49" s="245"/>
      <c r="V49" s="245"/>
      <c r="W49" s="245"/>
      <c r="X49" s="255"/>
      <c r="Y49" s="255"/>
      <c r="Z49" s="255"/>
      <c r="AA49" s="25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</row>
    <row r="50" spans="2:68" s="269" customFormat="1" ht="15">
      <c r="B50" s="268"/>
      <c r="C50" s="268"/>
      <c r="F50" s="263"/>
      <c r="G50" s="267"/>
      <c r="H50" s="267"/>
      <c r="I50" s="267"/>
      <c r="J50" s="270"/>
      <c r="K50" s="270"/>
      <c r="L50" s="267"/>
      <c r="M50" s="267"/>
      <c r="N50" s="267"/>
      <c r="O50" s="267"/>
      <c r="P50" s="270"/>
      <c r="Q50" s="271"/>
      <c r="R50" s="271"/>
      <c r="S50" s="271"/>
      <c r="T50" s="271"/>
      <c r="U50" s="271"/>
      <c r="V50" s="271"/>
      <c r="W50" s="271"/>
      <c r="X50" s="245"/>
      <c r="Y50" s="245"/>
      <c r="Z50" s="245"/>
      <c r="AA50" s="245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</row>
    <row r="51" spans="2:68" s="269" customFormat="1" ht="15">
      <c r="B51" s="268"/>
      <c r="C51" s="268"/>
      <c r="F51" s="263"/>
      <c r="G51" s="267"/>
      <c r="H51" s="267"/>
      <c r="I51" s="267"/>
      <c r="J51" s="244"/>
      <c r="K51" s="244"/>
      <c r="L51" s="264"/>
      <c r="M51" s="264"/>
      <c r="N51" s="264"/>
      <c r="O51" s="264"/>
      <c r="P51" s="244"/>
      <c r="Q51" s="271"/>
      <c r="R51" s="271"/>
      <c r="S51" s="271"/>
      <c r="T51" s="271"/>
      <c r="U51" s="271"/>
      <c r="V51" s="271"/>
      <c r="W51" s="271"/>
      <c r="X51" s="245"/>
      <c r="Y51" s="245"/>
      <c r="Z51" s="245"/>
      <c r="AA51" s="245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</row>
    <row r="52" spans="2:68" s="269" customFormat="1" ht="15">
      <c r="B52" s="268"/>
      <c r="C52" s="268"/>
      <c r="F52" s="263"/>
      <c r="G52" s="267"/>
      <c r="H52" s="267"/>
      <c r="I52" s="267"/>
      <c r="J52" s="244"/>
      <c r="K52" s="244"/>
      <c r="L52" s="264"/>
      <c r="M52" s="264"/>
      <c r="N52" s="264"/>
      <c r="O52" s="264"/>
      <c r="P52" s="244"/>
      <c r="Q52" s="271"/>
      <c r="R52" s="271"/>
      <c r="S52" s="271"/>
      <c r="T52" s="271"/>
      <c r="U52" s="271"/>
      <c r="V52" s="271"/>
      <c r="W52" s="271"/>
      <c r="X52" s="245"/>
      <c r="Y52" s="245"/>
      <c r="Z52" s="245"/>
      <c r="AA52" s="245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</row>
    <row r="53" spans="2:68" s="269" customFormat="1" ht="15" customHeight="1">
      <c r="B53" s="268"/>
      <c r="C53" s="268"/>
      <c r="F53" s="263"/>
      <c r="G53" s="267"/>
      <c r="H53" s="267"/>
      <c r="I53" s="267"/>
      <c r="J53" s="244"/>
      <c r="K53" s="244"/>
      <c r="L53" s="264"/>
      <c r="M53" s="264"/>
      <c r="N53" s="264"/>
      <c r="O53" s="264"/>
      <c r="P53" s="244"/>
      <c r="Q53" s="271"/>
      <c r="R53" s="271"/>
      <c r="S53" s="271"/>
      <c r="T53" s="271"/>
      <c r="U53" s="271"/>
      <c r="V53" s="271"/>
      <c r="W53" s="271"/>
      <c r="X53" s="245"/>
      <c r="Y53" s="245"/>
      <c r="Z53" s="245"/>
      <c r="AA53" s="245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</row>
    <row r="54" spans="2:68" s="269" customFormat="1" ht="15.75" customHeight="1">
      <c r="B54" s="268"/>
      <c r="C54" s="268"/>
      <c r="F54" s="263"/>
      <c r="G54" s="267"/>
      <c r="H54" s="267"/>
      <c r="I54" s="267"/>
      <c r="J54" s="244"/>
      <c r="K54" s="244"/>
      <c r="L54" s="264"/>
      <c r="M54" s="264"/>
      <c r="N54" s="264"/>
      <c r="O54" s="264"/>
      <c r="P54" s="244"/>
      <c r="Q54" s="254"/>
      <c r="R54" s="254"/>
      <c r="S54" s="271"/>
      <c r="T54" s="271"/>
      <c r="U54" s="271"/>
      <c r="V54" s="271"/>
      <c r="W54" s="271"/>
      <c r="X54" s="245"/>
      <c r="Y54" s="245"/>
      <c r="Z54" s="245"/>
      <c r="AA54" s="245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</row>
    <row r="55" spans="2:68" s="269" customFormat="1" ht="14.25" customHeight="1">
      <c r="B55" s="268"/>
      <c r="C55" s="268"/>
      <c r="F55" s="263"/>
      <c r="G55" s="272"/>
      <c r="H55" s="272"/>
      <c r="I55" s="272"/>
      <c r="J55" s="244"/>
      <c r="K55" s="244"/>
      <c r="L55" s="273"/>
      <c r="M55" s="273"/>
      <c r="N55" s="273"/>
      <c r="O55" s="273"/>
      <c r="P55" s="244"/>
      <c r="Q55" s="254"/>
      <c r="R55" s="254"/>
      <c r="S55" s="271"/>
      <c r="T55" s="271"/>
      <c r="U55" s="271"/>
      <c r="V55" s="271"/>
      <c r="W55" s="271"/>
      <c r="X55" s="245"/>
      <c r="Y55" s="245"/>
      <c r="Z55" s="245"/>
      <c r="AA55" s="245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</row>
    <row r="56" spans="2:68" s="263" customFormat="1" ht="15">
      <c r="B56" s="274"/>
      <c r="C56" s="274"/>
      <c r="F56" s="25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54"/>
      <c r="R56" s="254"/>
      <c r="S56" s="275"/>
      <c r="T56" s="275"/>
      <c r="U56" s="275"/>
      <c r="V56" s="275"/>
      <c r="W56" s="275"/>
      <c r="X56" s="245"/>
      <c r="Y56" s="245"/>
      <c r="Z56" s="245"/>
      <c r="AA56" s="24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</row>
    <row r="57" spans="2:68" ht="15">
      <c r="B57" s="274"/>
      <c r="C57" s="274"/>
      <c r="F57" s="255"/>
      <c r="G57" s="276"/>
      <c r="H57" s="276"/>
      <c r="I57" s="276"/>
      <c r="J57" s="258"/>
      <c r="K57" s="258"/>
      <c r="L57" s="276"/>
      <c r="M57" s="276"/>
      <c r="N57" s="276"/>
      <c r="O57" s="276"/>
      <c r="P57" s="276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</row>
    <row r="58" spans="2:68" ht="15">
      <c r="B58" s="266"/>
      <c r="C58" s="266"/>
      <c r="F58" s="263"/>
      <c r="G58" s="267"/>
      <c r="H58" s="267"/>
      <c r="I58" s="267"/>
      <c r="J58" s="244"/>
      <c r="K58" s="244"/>
      <c r="L58" s="264"/>
      <c r="M58" s="264"/>
      <c r="N58" s="264"/>
      <c r="O58" s="264"/>
      <c r="P58" s="244"/>
      <c r="Q58" s="245"/>
      <c r="R58" s="245"/>
      <c r="S58" s="245"/>
      <c r="T58" s="245"/>
      <c r="U58" s="245"/>
      <c r="V58" s="245"/>
      <c r="W58" s="245"/>
      <c r="X58" s="271"/>
      <c r="Y58" s="271"/>
      <c r="Z58" s="271"/>
      <c r="AA58" s="271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</row>
    <row r="59" spans="2:68" ht="15">
      <c r="B59" s="266"/>
      <c r="C59" s="266"/>
      <c r="F59" s="263"/>
      <c r="G59" s="267"/>
      <c r="H59" s="267"/>
      <c r="I59" s="267"/>
      <c r="J59" s="244"/>
      <c r="K59" s="244"/>
      <c r="L59" s="264"/>
      <c r="M59" s="264"/>
      <c r="N59" s="264"/>
      <c r="O59" s="264"/>
      <c r="P59" s="244"/>
      <c r="Q59" s="245"/>
      <c r="R59" s="245"/>
      <c r="S59" s="245"/>
      <c r="T59" s="245"/>
      <c r="U59" s="245"/>
      <c r="V59" s="245"/>
      <c r="W59" s="245"/>
      <c r="X59" s="271"/>
      <c r="Y59" s="271"/>
      <c r="Z59" s="271"/>
      <c r="AA59" s="271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</row>
    <row r="60" spans="2:68" s="255" customFormat="1" ht="15">
      <c r="B60" s="274"/>
      <c r="C60" s="274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77"/>
      <c r="R60" s="277"/>
      <c r="S60" s="277"/>
      <c r="T60" s="277"/>
      <c r="U60" s="277"/>
      <c r="V60" s="277"/>
      <c r="W60" s="277"/>
      <c r="X60" s="271"/>
      <c r="Y60" s="271"/>
      <c r="Z60" s="271"/>
      <c r="AA60" s="271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</row>
    <row r="61" spans="2:68" s="255" customFormat="1" ht="15">
      <c r="B61" s="274"/>
      <c r="C61" s="274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7"/>
      <c r="R61" s="277"/>
      <c r="S61" s="277"/>
      <c r="T61" s="277"/>
      <c r="U61" s="277"/>
      <c r="V61" s="277"/>
      <c r="W61" s="277"/>
      <c r="X61" s="271"/>
      <c r="Y61" s="271"/>
      <c r="Z61" s="271"/>
      <c r="AA61" s="271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</row>
    <row r="62" spans="2:68" ht="15">
      <c r="B62" s="266"/>
      <c r="C62" s="266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45"/>
      <c r="R62" s="245"/>
      <c r="S62" s="245"/>
      <c r="T62" s="245"/>
      <c r="U62" s="245"/>
      <c r="V62" s="245"/>
      <c r="W62" s="245"/>
      <c r="X62" s="271"/>
      <c r="Y62" s="271"/>
      <c r="Z62" s="271"/>
      <c r="AA62" s="271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</row>
    <row r="63" spans="2:68" ht="14.25" customHeight="1">
      <c r="B63" s="278"/>
      <c r="C63" s="278"/>
      <c r="F63" s="279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45"/>
      <c r="R63" s="245"/>
      <c r="S63" s="245"/>
      <c r="T63" s="245"/>
      <c r="U63" s="245"/>
      <c r="V63" s="245"/>
      <c r="W63" s="245"/>
      <c r="X63" s="271"/>
      <c r="Y63" s="271"/>
      <c r="Z63" s="271"/>
      <c r="AA63" s="271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</row>
    <row r="64" spans="2:68" ht="14.25" customHeight="1">
      <c r="B64" s="278"/>
      <c r="C64" s="278"/>
      <c r="F64" s="255"/>
      <c r="G64" s="278"/>
      <c r="H64" s="280"/>
      <c r="I64" s="280"/>
      <c r="J64" s="280"/>
      <c r="K64" s="281"/>
      <c r="L64" s="281"/>
      <c r="M64" s="280"/>
      <c r="N64" s="280"/>
      <c r="O64" s="280"/>
      <c r="P64" s="281"/>
      <c r="Q64" s="245"/>
      <c r="R64" s="245"/>
      <c r="S64" s="245"/>
      <c r="T64" s="245"/>
      <c r="U64" s="245"/>
      <c r="V64" s="245"/>
      <c r="W64" s="245"/>
      <c r="X64" s="275"/>
      <c r="Y64" s="275"/>
      <c r="Z64" s="275"/>
      <c r="AA64" s="27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</row>
    <row r="65" spans="2:68" ht="15" customHeight="1">
      <c r="B65" s="282"/>
      <c r="C65" s="282"/>
      <c r="G65" s="281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</row>
    <row r="66" spans="2:68" s="284" customFormat="1" ht="15">
      <c r="B66" s="283"/>
      <c r="C66" s="283"/>
      <c r="G66" s="285"/>
      <c r="Q66" s="286"/>
      <c r="R66" s="286"/>
      <c r="S66" s="286"/>
      <c r="T66" s="286"/>
      <c r="U66" s="286"/>
      <c r="V66" s="286"/>
      <c r="W66" s="286"/>
      <c r="X66" s="245"/>
      <c r="Y66" s="245"/>
      <c r="Z66" s="245"/>
      <c r="AA66" s="245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</row>
    <row r="67" spans="2:68" ht="15">
      <c r="B67" s="213"/>
      <c r="C67" s="213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</row>
    <row r="68" spans="2:68" ht="15">
      <c r="B68" s="288"/>
      <c r="C68" s="288"/>
      <c r="F68" s="289"/>
      <c r="G68" s="289"/>
      <c r="H68" s="289"/>
      <c r="I68" s="289"/>
      <c r="J68" s="289"/>
      <c r="K68" s="289"/>
      <c r="L68" s="290"/>
      <c r="M68" s="289"/>
      <c r="N68" s="289"/>
      <c r="O68" s="289"/>
      <c r="P68" s="289"/>
      <c r="Q68" s="245"/>
      <c r="R68" s="245"/>
      <c r="S68" s="245"/>
      <c r="T68" s="245"/>
      <c r="U68" s="245"/>
      <c r="V68" s="245"/>
      <c r="W68" s="245"/>
      <c r="X68" s="277"/>
      <c r="Y68" s="277"/>
      <c r="Z68" s="277"/>
      <c r="AA68" s="277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</row>
    <row r="69" spans="2:68" ht="15">
      <c r="B69" s="288"/>
      <c r="C69" s="288"/>
      <c r="F69" s="291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45"/>
      <c r="R69" s="245"/>
      <c r="S69" s="245"/>
      <c r="T69" s="245"/>
      <c r="U69" s="245"/>
      <c r="V69" s="245"/>
      <c r="W69" s="245"/>
      <c r="X69" s="277"/>
      <c r="Y69" s="277"/>
      <c r="Z69" s="277"/>
      <c r="AA69" s="277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</row>
    <row r="70" spans="2:68" ht="15">
      <c r="B70" s="288"/>
      <c r="C70" s="288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</row>
    <row r="71" spans="2:68" ht="15">
      <c r="B71" s="288"/>
      <c r="C71" s="288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</row>
    <row r="72" spans="2:68" ht="15">
      <c r="B72" s="288"/>
      <c r="C72" s="288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</row>
    <row r="73" spans="2:68" ht="15">
      <c r="B73" s="288"/>
      <c r="C73" s="288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</row>
    <row r="74" spans="2:68" ht="15">
      <c r="B74" s="288"/>
      <c r="C74" s="288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45"/>
      <c r="R74" s="245"/>
      <c r="S74" s="245"/>
      <c r="T74" s="245"/>
      <c r="U74" s="245"/>
      <c r="V74" s="245"/>
      <c r="W74" s="245"/>
      <c r="X74" s="286"/>
      <c r="Y74" s="286"/>
      <c r="Z74" s="286"/>
      <c r="AA74" s="286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</row>
    <row r="75" spans="2:68" ht="15">
      <c r="B75" s="245"/>
      <c r="C75" s="245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</row>
    <row r="76" spans="2:68" ht="15">
      <c r="B76" s="245"/>
      <c r="C76" s="245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</row>
    <row r="77" spans="2:68" ht="15">
      <c r="B77" s="245"/>
      <c r="C77" s="245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</row>
    <row r="78" spans="2:68" ht="15">
      <c r="B78" s="245"/>
      <c r="C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</row>
    <row r="79" spans="2:68" ht="15">
      <c r="B79" s="245"/>
      <c r="C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</row>
    <row r="80" spans="2:68" ht="15">
      <c r="B80" s="245"/>
      <c r="C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</row>
    <row r="81" spans="2:68" ht="15">
      <c r="B81" s="245"/>
      <c r="C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</row>
    <row r="82" spans="2:68" ht="15">
      <c r="B82" s="245"/>
      <c r="C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</row>
    <row r="83" spans="2:68" ht="15">
      <c r="B83" s="245"/>
      <c r="C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</row>
    <row r="84" spans="2:68" ht="15">
      <c r="B84" s="245"/>
      <c r="C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</row>
    <row r="85" spans="2:68" ht="15">
      <c r="B85" s="245"/>
      <c r="C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</row>
    <row r="86" spans="2:68" ht="15">
      <c r="B86" s="245"/>
      <c r="C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</row>
    <row r="87" spans="2:68" ht="15">
      <c r="B87" s="245"/>
      <c r="C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</row>
    <row r="88" spans="2:68" ht="15">
      <c r="B88" s="245"/>
      <c r="C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</row>
    <row r="89" spans="2:68" ht="15">
      <c r="B89" s="245"/>
      <c r="C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</row>
    <row r="90" spans="2:68" ht="15">
      <c r="B90" s="245"/>
      <c r="C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</row>
    <row r="91" spans="2:68" ht="15">
      <c r="B91" s="245"/>
      <c r="C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</row>
    <row r="92" spans="2:68" ht="15">
      <c r="B92" s="245"/>
      <c r="C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</row>
    <row r="93" spans="2:68" ht="15">
      <c r="B93" s="245"/>
      <c r="C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</row>
    <row r="94" spans="2:68" ht="15">
      <c r="B94" s="245"/>
      <c r="C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</row>
    <row r="95" spans="2:68" ht="15">
      <c r="B95" s="245"/>
      <c r="C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</row>
    <row r="96" spans="2:68" ht="15">
      <c r="B96" s="245"/>
      <c r="C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</row>
    <row r="97" spans="2:68" ht="15">
      <c r="B97" s="245"/>
      <c r="C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</row>
    <row r="98" spans="2:68" ht="15">
      <c r="B98" s="245"/>
      <c r="C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</row>
    <row r="99" spans="2:68" ht="15">
      <c r="B99" s="245"/>
      <c r="C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</row>
    <row r="100" spans="2:68" ht="15">
      <c r="B100" s="245"/>
      <c r="C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5"/>
      <c r="BN100" s="245"/>
      <c r="BO100" s="245"/>
      <c r="BP100" s="245"/>
    </row>
    <row r="101" spans="2:68" ht="15">
      <c r="B101" s="245"/>
      <c r="C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245"/>
      <c r="BP101" s="245"/>
    </row>
    <row r="102" spans="2:68" ht="15">
      <c r="B102" s="245"/>
      <c r="C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245"/>
      <c r="BP102" s="245"/>
    </row>
    <row r="103" spans="2:68" ht="15">
      <c r="B103" s="245"/>
      <c r="C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</row>
    <row r="104" spans="2:68" ht="15">
      <c r="B104" s="245"/>
      <c r="C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</row>
    <row r="105" spans="2:68" ht="15">
      <c r="B105" s="245"/>
      <c r="C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5"/>
      <c r="BN105" s="245"/>
      <c r="BO105" s="245"/>
      <c r="BP105" s="245"/>
    </row>
    <row r="106" spans="2:68" ht="15">
      <c r="B106" s="245"/>
      <c r="C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</row>
    <row r="107" spans="2:68" ht="15">
      <c r="B107" s="245"/>
      <c r="C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</row>
    <row r="108" spans="2:68" ht="15">
      <c r="B108" s="245"/>
      <c r="C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</row>
    <row r="109" spans="2:68" ht="15">
      <c r="B109" s="245"/>
      <c r="C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</row>
    <row r="110" spans="2:68" ht="15">
      <c r="B110" s="245"/>
      <c r="C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</row>
    <row r="111" spans="2:68" ht="15">
      <c r="B111" s="245"/>
      <c r="C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</row>
    <row r="112" spans="2:68" ht="15">
      <c r="B112" s="245"/>
      <c r="C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</row>
    <row r="113" spans="2:68" ht="15">
      <c r="B113" s="245"/>
      <c r="C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</row>
    <row r="114" spans="2:68" ht="15">
      <c r="B114" s="245"/>
      <c r="C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</row>
    <row r="115" spans="2:68" ht="15">
      <c r="B115" s="245"/>
      <c r="C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</row>
    <row r="116" spans="2:68" ht="15">
      <c r="B116" s="245"/>
      <c r="C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  <c r="BI116" s="245"/>
      <c r="BJ116" s="245"/>
      <c r="BK116" s="245"/>
      <c r="BL116" s="245"/>
      <c r="BM116" s="245"/>
      <c r="BN116" s="245"/>
      <c r="BO116" s="245"/>
      <c r="BP116" s="245"/>
    </row>
    <row r="117" spans="2:68" ht="15">
      <c r="B117" s="245"/>
      <c r="C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</row>
    <row r="118" spans="2:68" ht="15">
      <c r="B118" s="245"/>
      <c r="C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5"/>
      <c r="BN118" s="245"/>
      <c r="BO118" s="245"/>
      <c r="BP118" s="245"/>
    </row>
    <row r="119" spans="2:68" ht="15">
      <c r="B119" s="245"/>
      <c r="C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</row>
    <row r="120" spans="2:68" ht="15">
      <c r="B120" s="245"/>
      <c r="C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</row>
    <row r="121" spans="2:68" ht="15">
      <c r="B121" s="245"/>
      <c r="C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</row>
    <row r="122" spans="2:68" ht="15">
      <c r="B122" s="245"/>
      <c r="C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</row>
    <row r="123" spans="2:68" ht="15">
      <c r="B123" s="245"/>
      <c r="C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245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  <c r="BI123" s="245"/>
      <c r="BJ123" s="245"/>
      <c r="BK123" s="245"/>
      <c r="BL123" s="245"/>
      <c r="BM123" s="245"/>
      <c r="BN123" s="245"/>
      <c r="BO123" s="245"/>
      <c r="BP123" s="245"/>
    </row>
    <row r="124" spans="2:68" ht="15">
      <c r="B124" s="245"/>
      <c r="C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245"/>
    </row>
    <row r="125" spans="2:68" ht="15">
      <c r="B125" s="245"/>
      <c r="C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245"/>
    </row>
    <row r="126" spans="2:68" ht="15">
      <c r="B126" s="245"/>
      <c r="C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</row>
    <row r="127" spans="2:68" ht="15">
      <c r="B127" s="245"/>
      <c r="C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  <c r="BI127" s="245"/>
      <c r="BJ127" s="245"/>
      <c r="BK127" s="245"/>
      <c r="BL127" s="245"/>
      <c r="BM127" s="245"/>
      <c r="BN127" s="245"/>
      <c r="BO127" s="245"/>
      <c r="BP127" s="245"/>
    </row>
    <row r="128" spans="2:68" ht="15">
      <c r="B128" s="245"/>
      <c r="C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5"/>
      <c r="BN128" s="245"/>
      <c r="BO128" s="245"/>
      <c r="BP128" s="245"/>
    </row>
    <row r="129" spans="2:68" ht="15">
      <c r="B129" s="245"/>
      <c r="C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</row>
    <row r="130" spans="2:68" ht="15">
      <c r="B130" s="245"/>
      <c r="C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</row>
    <row r="131" spans="2:68" ht="15">
      <c r="B131" s="245"/>
      <c r="C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</row>
    <row r="132" spans="2:68" ht="15">
      <c r="B132" s="245"/>
      <c r="C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</row>
    <row r="133" spans="2:68" ht="15">
      <c r="B133" s="245"/>
      <c r="C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</row>
    <row r="134" spans="2:68" ht="15">
      <c r="B134" s="245"/>
      <c r="C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</row>
    <row r="135" spans="2:68" ht="15">
      <c r="B135" s="245"/>
      <c r="C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</row>
    <row r="136" spans="2:68" ht="15">
      <c r="B136" s="245"/>
      <c r="C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</row>
    <row r="137" spans="2:68" ht="15">
      <c r="B137" s="245"/>
      <c r="C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</row>
    <row r="138" spans="2:68" ht="15">
      <c r="B138" s="245"/>
      <c r="C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</row>
    <row r="139" spans="2:68" ht="15">
      <c r="B139" s="245"/>
      <c r="C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</row>
    <row r="140" spans="2:68" ht="15">
      <c r="B140" s="245"/>
      <c r="C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</row>
    <row r="141" spans="2:68" ht="15">
      <c r="B141" s="245"/>
      <c r="C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  <c r="BI141" s="245"/>
      <c r="BJ141" s="245"/>
      <c r="BK141" s="245"/>
      <c r="BL141" s="245"/>
      <c r="BM141" s="245"/>
      <c r="BN141" s="245"/>
      <c r="BO141" s="245"/>
      <c r="BP141" s="245"/>
    </row>
    <row r="142" spans="2:68" ht="15">
      <c r="B142" s="245"/>
      <c r="C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</row>
    <row r="143" spans="2:68" ht="15">
      <c r="B143" s="245"/>
      <c r="C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5"/>
      <c r="BN143" s="245"/>
      <c r="BO143" s="245"/>
      <c r="BP143" s="245"/>
    </row>
    <row r="144" spans="2:68" ht="15">
      <c r="B144" s="245"/>
      <c r="C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5"/>
      <c r="BJ144" s="245"/>
      <c r="BK144" s="245"/>
      <c r="BL144" s="245"/>
      <c r="BM144" s="245"/>
      <c r="BN144" s="245"/>
      <c r="BO144" s="245"/>
      <c r="BP144" s="245"/>
    </row>
    <row r="145" spans="2:68" ht="15">
      <c r="B145" s="245"/>
      <c r="C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</row>
    <row r="146" spans="2:68" ht="15">
      <c r="B146" s="245"/>
      <c r="C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  <c r="BI146" s="245"/>
      <c r="BJ146" s="245"/>
      <c r="BK146" s="245"/>
      <c r="BL146" s="245"/>
      <c r="BM146" s="245"/>
      <c r="BN146" s="245"/>
      <c r="BO146" s="245"/>
      <c r="BP146" s="245"/>
    </row>
    <row r="147" spans="2:68" ht="15">
      <c r="B147" s="245"/>
      <c r="C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245"/>
      <c r="BK147" s="245"/>
      <c r="BL147" s="245"/>
      <c r="BM147" s="245"/>
      <c r="BN147" s="245"/>
      <c r="BO147" s="245"/>
      <c r="BP147" s="245"/>
    </row>
    <row r="148" spans="2:68" ht="15">
      <c r="B148" s="245"/>
      <c r="C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</row>
    <row r="149" spans="2:68" ht="15">
      <c r="B149" s="245"/>
      <c r="C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5"/>
      <c r="BJ149" s="245"/>
      <c r="BK149" s="245"/>
      <c r="BL149" s="245"/>
      <c r="BM149" s="245"/>
      <c r="BN149" s="245"/>
      <c r="BO149" s="245"/>
      <c r="BP149" s="245"/>
    </row>
    <row r="150" spans="2:68" ht="15">
      <c r="B150" s="245"/>
      <c r="C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5"/>
      <c r="BN150" s="245"/>
      <c r="BO150" s="245"/>
      <c r="BP150" s="245"/>
    </row>
    <row r="151" spans="2:68" ht="15">
      <c r="B151" s="245"/>
      <c r="C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245"/>
      <c r="BP151" s="245"/>
    </row>
    <row r="152" spans="2:68" ht="15">
      <c r="B152" s="245"/>
      <c r="C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5"/>
      <c r="BN152" s="245"/>
      <c r="BO152" s="245"/>
      <c r="BP152" s="245"/>
    </row>
    <row r="153" spans="2:68" ht="15">
      <c r="B153" s="245"/>
      <c r="C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5"/>
      <c r="BN153" s="245"/>
      <c r="BO153" s="245"/>
      <c r="BP153" s="245"/>
    </row>
    <row r="154" spans="2:68" ht="15">
      <c r="B154" s="245"/>
      <c r="C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</row>
    <row r="155" spans="2:68" ht="15">
      <c r="B155" s="245"/>
      <c r="C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5"/>
      <c r="BN155" s="245"/>
      <c r="BO155" s="245"/>
      <c r="BP155" s="245"/>
    </row>
    <row r="156" spans="2:68" ht="15">
      <c r="B156" s="245"/>
      <c r="C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5"/>
      <c r="BN156" s="245"/>
      <c r="BO156" s="245"/>
      <c r="BP156" s="245"/>
    </row>
    <row r="157" spans="2:68" ht="15">
      <c r="B157" s="245"/>
      <c r="C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</row>
    <row r="158" spans="2:68" ht="15">
      <c r="B158" s="245"/>
      <c r="C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</row>
    <row r="159" spans="2:68" ht="15">
      <c r="B159" s="245"/>
      <c r="C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</row>
    <row r="160" spans="2:68" ht="15">
      <c r="B160" s="245"/>
      <c r="C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245"/>
      <c r="BP160" s="245"/>
    </row>
    <row r="161" spans="2:68" ht="15">
      <c r="B161" s="245"/>
      <c r="C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  <c r="BM161" s="245"/>
      <c r="BN161" s="245"/>
      <c r="BO161" s="245"/>
      <c r="BP161" s="245"/>
    </row>
    <row r="162" spans="2:68" ht="15">
      <c r="B162" s="245"/>
      <c r="C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</row>
    <row r="163" spans="2:68" ht="15">
      <c r="B163" s="245"/>
      <c r="C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</row>
    <row r="164" spans="2:68" ht="15">
      <c r="B164" s="245"/>
      <c r="C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5"/>
      <c r="BN164" s="245"/>
      <c r="BO164" s="245"/>
      <c r="BP164" s="245"/>
    </row>
    <row r="165" spans="2:68" ht="15">
      <c r="B165" s="245"/>
      <c r="C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  <c r="BM165" s="245"/>
      <c r="BN165" s="245"/>
      <c r="BO165" s="245"/>
      <c r="BP165" s="245"/>
    </row>
    <row r="166" spans="2:68" ht="15">
      <c r="B166" s="245"/>
      <c r="C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  <c r="BM166" s="245"/>
      <c r="BN166" s="245"/>
      <c r="BO166" s="245"/>
      <c r="BP166" s="245"/>
    </row>
    <row r="167" spans="2:68" ht="15">
      <c r="B167" s="245"/>
      <c r="C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245"/>
      <c r="BL167" s="245"/>
      <c r="BM167" s="245"/>
      <c r="BN167" s="245"/>
      <c r="BO167" s="245"/>
      <c r="BP167" s="245"/>
    </row>
    <row r="168" spans="2:68" ht="15">
      <c r="B168" s="245"/>
      <c r="C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5"/>
    </row>
    <row r="169" spans="2:68" ht="15">
      <c r="B169" s="245"/>
      <c r="C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  <c r="BI169" s="245"/>
      <c r="BJ169" s="245"/>
      <c r="BK169" s="245"/>
      <c r="BL169" s="245"/>
      <c r="BM169" s="245"/>
      <c r="BN169" s="245"/>
      <c r="BO169" s="245"/>
      <c r="BP169" s="245"/>
    </row>
    <row r="170" spans="2:68" ht="15">
      <c r="B170" s="245"/>
      <c r="C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  <c r="BI170" s="245"/>
      <c r="BJ170" s="245"/>
      <c r="BK170" s="245"/>
      <c r="BL170" s="245"/>
      <c r="BM170" s="245"/>
      <c r="BN170" s="245"/>
      <c r="BO170" s="245"/>
      <c r="BP170" s="245"/>
    </row>
    <row r="171" spans="2:68" ht="15">
      <c r="B171" s="245"/>
      <c r="C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  <c r="BK171" s="245"/>
      <c r="BL171" s="245"/>
      <c r="BM171" s="245"/>
      <c r="BN171" s="245"/>
      <c r="BO171" s="245"/>
      <c r="BP171" s="245"/>
    </row>
    <row r="172" spans="2:68" ht="15">
      <c r="B172" s="245"/>
      <c r="C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5"/>
      <c r="BN172" s="245"/>
      <c r="BO172" s="245"/>
      <c r="BP172" s="245"/>
    </row>
    <row r="173" spans="2:68" ht="15">
      <c r="B173" s="245"/>
      <c r="C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</row>
    <row r="174" spans="2:68" ht="15">
      <c r="B174" s="245"/>
      <c r="C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/>
      <c r="BJ174" s="245"/>
      <c r="BK174" s="245"/>
      <c r="BL174" s="245"/>
      <c r="BM174" s="245"/>
      <c r="BN174" s="245"/>
      <c r="BO174" s="245"/>
      <c r="BP174" s="245"/>
    </row>
    <row r="175" spans="2:68" ht="15">
      <c r="B175" s="245"/>
      <c r="C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</row>
    <row r="176" spans="2:68" ht="15">
      <c r="B176" s="245"/>
      <c r="C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</row>
    <row r="177" spans="2:68" ht="15">
      <c r="B177" s="245"/>
      <c r="C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</row>
    <row r="178" spans="2:68" ht="15">
      <c r="B178" s="245"/>
      <c r="C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</row>
    <row r="179" spans="2:68" ht="15">
      <c r="B179" s="245"/>
      <c r="C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5"/>
      <c r="BN179" s="245"/>
      <c r="BO179" s="245"/>
      <c r="BP179" s="245"/>
    </row>
    <row r="180" spans="2:68" ht="15">
      <c r="B180" s="245"/>
      <c r="C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</row>
    <row r="181" spans="2:68" ht="15">
      <c r="B181" s="245"/>
      <c r="C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</row>
    <row r="182" spans="2:68" ht="15">
      <c r="B182" s="245"/>
      <c r="C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5"/>
      <c r="BN182" s="245"/>
      <c r="BO182" s="245"/>
      <c r="BP182" s="245"/>
    </row>
    <row r="183" spans="2:68" ht="15">
      <c r="B183" s="245"/>
      <c r="C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  <c r="BI183" s="245"/>
      <c r="BJ183" s="245"/>
      <c r="BK183" s="245"/>
      <c r="BL183" s="245"/>
      <c r="BM183" s="245"/>
      <c r="BN183" s="245"/>
      <c r="BO183" s="245"/>
      <c r="BP183" s="245"/>
    </row>
    <row r="184" spans="2:68" ht="15">
      <c r="B184" s="245"/>
      <c r="C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5"/>
      <c r="BN184" s="245"/>
      <c r="BO184" s="245"/>
      <c r="BP184" s="245"/>
    </row>
    <row r="185" spans="2:68" ht="15">
      <c r="B185" s="245"/>
      <c r="C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  <c r="BI185" s="245"/>
      <c r="BJ185" s="245"/>
      <c r="BK185" s="245"/>
      <c r="BL185" s="245"/>
      <c r="BM185" s="245"/>
      <c r="BN185" s="245"/>
      <c r="BO185" s="245"/>
      <c r="BP185" s="245"/>
    </row>
    <row r="186" spans="2:68" ht="15">
      <c r="B186" s="245"/>
      <c r="C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5"/>
      <c r="BN186" s="245"/>
      <c r="BO186" s="245"/>
      <c r="BP186" s="245"/>
    </row>
    <row r="187" spans="2:68" ht="15">
      <c r="B187" s="245"/>
      <c r="C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  <c r="BI187" s="245"/>
      <c r="BJ187" s="245"/>
      <c r="BK187" s="245"/>
      <c r="BL187" s="245"/>
      <c r="BM187" s="245"/>
      <c r="BN187" s="245"/>
      <c r="BO187" s="245"/>
      <c r="BP187" s="245"/>
    </row>
    <row r="188" spans="2:68" ht="15">
      <c r="B188" s="245"/>
      <c r="C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5"/>
      <c r="BN188" s="245"/>
      <c r="BO188" s="245"/>
      <c r="BP188" s="245"/>
    </row>
    <row r="189" spans="2:68" ht="15">
      <c r="B189" s="245"/>
      <c r="C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</row>
    <row r="190" spans="2:68" ht="15">
      <c r="B190" s="245"/>
      <c r="C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5"/>
      <c r="BN190" s="245"/>
      <c r="BO190" s="245"/>
      <c r="BP190" s="245"/>
    </row>
    <row r="191" spans="2:68" ht="15">
      <c r="B191" s="245"/>
      <c r="C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5"/>
      <c r="BN191" s="245"/>
      <c r="BO191" s="245"/>
      <c r="BP191" s="245"/>
    </row>
    <row r="192" spans="2:68" ht="15">
      <c r="B192" s="245"/>
      <c r="C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5"/>
      <c r="BN192" s="245"/>
      <c r="BO192" s="245"/>
      <c r="BP192" s="245"/>
    </row>
    <row r="193" spans="2:68" ht="15">
      <c r="B193" s="245"/>
      <c r="C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5"/>
      <c r="BN193" s="245"/>
      <c r="BO193" s="245"/>
      <c r="BP193" s="245"/>
    </row>
    <row r="194" spans="2:68" ht="15">
      <c r="B194" s="245"/>
      <c r="C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5"/>
      <c r="BN194" s="245"/>
      <c r="BO194" s="245"/>
      <c r="BP194" s="245"/>
    </row>
    <row r="195" spans="2:68" ht="15">
      <c r="B195" s="245"/>
      <c r="C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  <c r="BI195" s="245"/>
      <c r="BJ195" s="245"/>
      <c r="BK195" s="245"/>
      <c r="BL195" s="245"/>
      <c r="BM195" s="245"/>
      <c r="BN195" s="245"/>
      <c r="BO195" s="245"/>
      <c r="BP195" s="245"/>
    </row>
    <row r="196" spans="2:68" ht="15">
      <c r="B196" s="245"/>
      <c r="C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  <c r="BI196" s="245"/>
      <c r="BJ196" s="245"/>
      <c r="BK196" s="245"/>
      <c r="BL196" s="245"/>
      <c r="BM196" s="245"/>
      <c r="BN196" s="245"/>
      <c r="BO196" s="245"/>
      <c r="BP196" s="245"/>
    </row>
    <row r="197" spans="2:68" ht="15">
      <c r="B197" s="245"/>
      <c r="C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</row>
    <row r="198" spans="2:68" ht="15">
      <c r="B198" s="245"/>
      <c r="C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  <c r="BI198" s="245"/>
      <c r="BJ198" s="245"/>
      <c r="BK198" s="245"/>
      <c r="BL198" s="245"/>
      <c r="BM198" s="245"/>
      <c r="BN198" s="245"/>
      <c r="BO198" s="245"/>
      <c r="BP198" s="245"/>
    </row>
    <row r="199" spans="2:68" ht="15">
      <c r="B199" s="245"/>
      <c r="C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45"/>
      <c r="AW199" s="245"/>
      <c r="AX199" s="245"/>
      <c r="AY199" s="245"/>
      <c r="AZ199" s="245"/>
      <c r="BA199" s="245"/>
      <c r="BB199" s="245"/>
      <c r="BC199" s="245"/>
      <c r="BD199" s="245"/>
      <c r="BE199" s="245"/>
      <c r="BF199" s="245"/>
      <c r="BG199" s="245"/>
      <c r="BH199" s="245"/>
      <c r="BI199" s="245"/>
      <c r="BJ199" s="245"/>
      <c r="BK199" s="245"/>
      <c r="BL199" s="245"/>
      <c r="BM199" s="245"/>
      <c r="BN199" s="245"/>
      <c r="BO199" s="245"/>
      <c r="BP199" s="245"/>
    </row>
    <row r="200" spans="2:68" ht="15">
      <c r="B200" s="245"/>
      <c r="C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5"/>
      <c r="BN200" s="245"/>
      <c r="BO200" s="245"/>
      <c r="BP200" s="245"/>
    </row>
    <row r="201" spans="2:68" ht="15">
      <c r="B201" s="245"/>
      <c r="C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5"/>
      <c r="BN201" s="245"/>
      <c r="BO201" s="245"/>
      <c r="BP201" s="245"/>
    </row>
    <row r="202" spans="2:68" ht="15">
      <c r="B202" s="245"/>
      <c r="C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</row>
    <row r="203" spans="2:68" ht="15">
      <c r="B203" s="245"/>
      <c r="C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5"/>
      <c r="AY203" s="245"/>
      <c r="AZ203" s="245"/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</row>
    <row r="204" spans="2:68" ht="15">
      <c r="B204" s="245"/>
      <c r="C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I204" s="245"/>
      <c r="AJ204" s="245"/>
      <c r="AK204" s="245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45"/>
      <c r="AW204" s="245"/>
      <c r="AX204" s="245"/>
      <c r="AY204" s="245"/>
      <c r="AZ204" s="245"/>
      <c r="BA204" s="245"/>
      <c r="BB204" s="245"/>
      <c r="BC204" s="245"/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5"/>
      <c r="BN204" s="245"/>
      <c r="BO204" s="245"/>
      <c r="BP204" s="245"/>
    </row>
    <row r="205" spans="2:68" ht="15">
      <c r="B205" s="245"/>
      <c r="C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5"/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</row>
    <row r="206" spans="2:68" ht="15">
      <c r="B206" s="245"/>
      <c r="C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5"/>
      <c r="AY206" s="245"/>
      <c r="AZ206" s="245"/>
      <c r="BA206" s="245"/>
      <c r="BB206" s="245"/>
      <c r="BC206" s="245"/>
      <c r="BD206" s="245"/>
      <c r="BE206" s="245"/>
      <c r="BF206" s="245"/>
      <c r="BG206" s="245"/>
      <c r="BH206" s="245"/>
      <c r="BI206" s="245"/>
      <c r="BJ206" s="245"/>
      <c r="BK206" s="245"/>
      <c r="BL206" s="245"/>
      <c r="BM206" s="245"/>
      <c r="BN206" s="245"/>
      <c r="BO206" s="245"/>
      <c r="BP206" s="245"/>
    </row>
    <row r="207" spans="2:68" ht="15">
      <c r="B207" s="245"/>
      <c r="C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  <c r="AI207" s="245"/>
      <c r="AJ207" s="245"/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  <c r="AY207" s="245"/>
      <c r="AZ207" s="245"/>
      <c r="BA207" s="245"/>
      <c r="BB207" s="245"/>
      <c r="BC207" s="245"/>
      <c r="BD207" s="245"/>
      <c r="BE207" s="245"/>
      <c r="BF207" s="245"/>
      <c r="BG207" s="245"/>
      <c r="BH207" s="245"/>
      <c r="BI207" s="245"/>
      <c r="BJ207" s="245"/>
      <c r="BK207" s="245"/>
      <c r="BL207" s="245"/>
      <c r="BM207" s="245"/>
      <c r="BN207" s="245"/>
      <c r="BO207" s="245"/>
      <c r="BP207" s="245"/>
    </row>
    <row r="208" spans="2:68" ht="15">
      <c r="B208" s="245"/>
      <c r="C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5"/>
      <c r="BN208" s="245"/>
      <c r="BO208" s="245"/>
      <c r="BP208" s="245"/>
    </row>
    <row r="209" spans="2:68" ht="15">
      <c r="B209" s="245"/>
      <c r="C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H209" s="245"/>
      <c r="BI209" s="245"/>
      <c r="BJ209" s="245"/>
      <c r="BK209" s="245"/>
      <c r="BL209" s="245"/>
      <c r="BM209" s="245"/>
      <c r="BN209" s="245"/>
      <c r="BO209" s="245"/>
      <c r="BP209" s="245"/>
    </row>
    <row r="210" spans="2:68" ht="15">
      <c r="B210" s="245"/>
      <c r="C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  <c r="BI210" s="245"/>
      <c r="BJ210" s="245"/>
      <c r="BK210" s="245"/>
      <c r="BL210" s="245"/>
      <c r="BM210" s="245"/>
      <c r="BN210" s="245"/>
      <c r="BO210" s="245"/>
      <c r="BP210" s="245"/>
    </row>
    <row r="211" spans="2:68" ht="15">
      <c r="B211" s="245"/>
      <c r="C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</row>
    <row r="212" spans="2:68" ht="15">
      <c r="B212" s="245"/>
      <c r="C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</row>
    <row r="213" spans="2:68" ht="15">
      <c r="B213" s="245"/>
      <c r="C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H213" s="245"/>
      <c r="BI213" s="245"/>
      <c r="BJ213" s="245"/>
      <c r="BK213" s="245"/>
      <c r="BL213" s="245"/>
      <c r="BM213" s="245"/>
      <c r="BN213" s="245"/>
      <c r="BO213" s="245"/>
      <c r="BP213" s="245"/>
    </row>
    <row r="214" spans="2:68" ht="15">
      <c r="B214" s="245"/>
      <c r="C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  <c r="AI214" s="245"/>
      <c r="AJ214" s="245"/>
      <c r="AK214" s="245"/>
      <c r="AL214" s="245"/>
      <c r="AM214" s="245"/>
      <c r="AN214" s="245"/>
      <c r="AO214" s="245"/>
      <c r="AP214" s="245"/>
      <c r="AQ214" s="245"/>
      <c r="AR214" s="245"/>
      <c r="AS214" s="245"/>
      <c r="AT214" s="245"/>
      <c r="AU214" s="245"/>
      <c r="AV214" s="245"/>
      <c r="AW214" s="245"/>
      <c r="AX214" s="245"/>
      <c r="AY214" s="245"/>
      <c r="AZ214" s="245"/>
      <c r="BA214" s="245"/>
      <c r="BB214" s="245"/>
      <c r="BC214" s="245"/>
      <c r="BD214" s="245"/>
      <c r="BE214" s="245"/>
      <c r="BF214" s="245"/>
      <c r="BG214" s="245"/>
      <c r="BH214" s="245"/>
      <c r="BI214" s="245"/>
      <c r="BJ214" s="245"/>
      <c r="BK214" s="245"/>
      <c r="BL214" s="245"/>
      <c r="BM214" s="245"/>
      <c r="BN214" s="245"/>
      <c r="BO214" s="245"/>
      <c r="BP214" s="245"/>
    </row>
    <row r="215" spans="2:68" ht="15">
      <c r="B215" s="245"/>
      <c r="C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5"/>
      <c r="BN215" s="245"/>
      <c r="BO215" s="245"/>
      <c r="BP215" s="245"/>
    </row>
    <row r="216" spans="2:68" ht="15">
      <c r="B216" s="245"/>
      <c r="C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5"/>
      <c r="BN216" s="245"/>
      <c r="BO216" s="245"/>
      <c r="BP216" s="245"/>
    </row>
    <row r="217" spans="2:68" ht="15">
      <c r="B217" s="245"/>
      <c r="C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5"/>
      <c r="BN217" s="245"/>
      <c r="BO217" s="245"/>
      <c r="BP217" s="245"/>
    </row>
    <row r="218" spans="2:68" ht="15">
      <c r="B218" s="245"/>
      <c r="C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5"/>
      <c r="BN218" s="245"/>
      <c r="BO218" s="245"/>
      <c r="BP218" s="245"/>
    </row>
    <row r="219" spans="2:68" ht="15">
      <c r="B219" s="245"/>
      <c r="C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5"/>
      <c r="BN219" s="245"/>
      <c r="BO219" s="245"/>
      <c r="BP219" s="245"/>
    </row>
    <row r="220" spans="2:68" ht="15">
      <c r="B220" s="245"/>
      <c r="C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5"/>
      <c r="BN220" s="245"/>
      <c r="BO220" s="245"/>
      <c r="BP220" s="245"/>
    </row>
    <row r="221" spans="2:68" ht="15">
      <c r="B221" s="245"/>
      <c r="C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45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  <c r="BH221" s="245"/>
      <c r="BI221" s="245"/>
      <c r="BJ221" s="245"/>
      <c r="BK221" s="245"/>
      <c r="BL221" s="245"/>
      <c r="BM221" s="245"/>
      <c r="BN221" s="245"/>
      <c r="BO221" s="245"/>
      <c r="BP221" s="245"/>
    </row>
    <row r="222" spans="2:68" ht="15">
      <c r="B222" s="245"/>
      <c r="C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</row>
    <row r="223" spans="2:68" ht="15">
      <c r="B223" s="245"/>
      <c r="C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H223" s="245"/>
      <c r="BI223" s="245"/>
      <c r="BJ223" s="245"/>
      <c r="BK223" s="245"/>
      <c r="BL223" s="245"/>
      <c r="BM223" s="245"/>
      <c r="BN223" s="245"/>
      <c r="BO223" s="245"/>
      <c r="BP223" s="245"/>
    </row>
    <row r="224" spans="2:68" ht="15">
      <c r="B224" s="245"/>
      <c r="C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45"/>
      <c r="AW224" s="245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5"/>
      <c r="BN224" s="245"/>
      <c r="BO224" s="245"/>
      <c r="BP224" s="245"/>
    </row>
    <row r="225" spans="2:68" ht="15">
      <c r="B225" s="245"/>
      <c r="C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5"/>
      <c r="BN225" s="245"/>
      <c r="BO225" s="245"/>
      <c r="BP225" s="245"/>
    </row>
    <row r="226" spans="2:68" ht="15">
      <c r="B226" s="245"/>
      <c r="C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H226" s="245"/>
      <c r="BI226" s="245"/>
      <c r="BJ226" s="245"/>
      <c r="BK226" s="245"/>
      <c r="BL226" s="245"/>
      <c r="BM226" s="245"/>
      <c r="BN226" s="245"/>
      <c r="BO226" s="245"/>
      <c r="BP226" s="245"/>
    </row>
    <row r="227" spans="2:68" ht="15">
      <c r="B227" s="245"/>
      <c r="C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H227" s="245"/>
      <c r="BI227" s="245"/>
      <c r="BJ227" s="245"/>
      <c r="BK227" s="245"/>
      <c r="BL227" s="245"/>
      <c r="BM227" s="245"/>
      <c r="BN227" s="245"/>
      <c r="BO227" s="245"/>
      <c r="BP227" s="245"/>
    </row>
    <row r="228" spans="2:68" ht="15">
      <c r="B228" s="245"/>
      <c r="C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H228" s="245"/>
      <c r="BI228" s="245"/>
      <c r="BJ228" s="245"/>
      <c r="BK228" s="245"/>
      <c r="BL228" s="245"/>
      <c r="BM228" s="245"/>
      <c r="BN228" s="245"/>
      <c r="BO228" s="245"/>
      <c r="BP228" s="245"/>
    </row>
    <row r="229" spans="2:68" ht="15">
      <c r="B229" s="245"/>
      <c r="C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5"/>
      <c r="BN229" s="245"/>
      <c r="BO229" s="245"/>
      <c r="BP229" s="245"/>
    </row>
    <row r="230" spans="2:68" ht="15">
      <c r="B230" s="245"/>
      <c r="C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/>
      <c r="BP230" s="245"/>
    </row>
    <row r="231" spans="2:68" ht="15">
      <c r="B231" s="245"/>
      <c r="C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</row>
    <row r="232" spans="24:27" ht="15">
      <c r="X232" s="245"/>
      <c r="Y232" s="245"/>
      <c r="Z232" s="245"/>
      <c r="AA232" s="245"/>
    </row>
    <row r="233" spans="24:27" ht="15">
      <c r="X233" s="245"/>
      <c r="Y233" s="245"/>
      <c r="Z233" s="245"/>
      <c r="AA233" s="245"/>
    </row>
    <row r="234" spans="24:27" ht="15">
      <c r="X234" s="245"/>
      <c r="Y234" s="245"/>
      <c r="Z234" s="245"/>
      <c r="AA234" s="245"/>
    </row>
    <row r="235" spans="24:27" ht="15">
      <c r="X235" s="245"/>
      <c r="Y235" s="245"/>
      <c r="Z235" s="245"/>
      <c r="AA235" s="245"/>
    </row>
    <row r="236" spans="24:27" ht="15">
      <c r="X236" s="245"/>
      <c r="Y236" s="245"/>
      <c r="Z236" s="245"/>
      <c r="AA236" s="245"/>
    </row>
    <row r="237" spans="24:27" ht="15">
      <c r="X237" s="245"/>
      <c r="Y237" s="245"/>
      <c r="Z237" s="245"/>
      <c r="AA237" s="245"/>
    </row>
    <row r="238" spans="24:27" ht="15">
      <c r="X238" s="245"/>
      <c r="Y238" s="245"/>
      <c r="Z238" s="245"/>
      <c r="AA238" s="245"/>
    </row>
    <row r="239" spans="24:27" ht="15">
      <c r="X239" s="245"/>
      <c r="Y239" s="245"/>
      <c r="Z239" s="245"/>
      <c r="AA239" s="245"/>
    </row>
  </sheetData>
  <sheetProtection/>
  <mergeCells count="80">
    <mergeCell ref="B2:B3"/>
    <mergeCell ref="B1:J1"/>
    <mergeCell ref="L1:P1"/>
    <mergeCell ref="R1:V1"/>
    <mergeCell ref="O2:O3"/>
    <mergeCell ref="F2:F3"/>
    <mergeCell ref="E2:E3"/>
    <mergeCell ref="G2:G3"/>
    <mergeCell ref="H2:H3"/>
    <mergeCell ref="T2:T3"/>
    <mergeCell ref="C2:C3"/>
    <mergeCell ref="R2:R3"/>
    <mergeCell ref="S2:S3"/>
    <mergeCell ref="I2:I3"/>
    <mergeCell ref="D2:D3"/>
    <mergeCell ref="M2:M3"/>
    <mergeCell ref="J2:J3"/>
    <mergeCell ref="P2:P3"/>
    <mergeCell ref="X10:Y10"/>
    <mergeCell ref="X11:Y11"/>
    <mergeCell ref="X1:AA1"/>
    <mergeCell ref="L2:L3"/>
    <mergeCell ref="AA2:AA3"/>
    <mergeCell ref="X2:Y3"/>
    <mergeCell ref="U2:U3"/>
    <mergeCell ref="Z2:Z3"/>
    <mergeCell ref="V2:V3"/>
    <mergeCell ref="N2:N3"/>
    <mergeCell ref="X13:Y13"/>
    <mergeCell ref="X12:Y12"/>
    <mergeCell ref="X14:Y14"/>
    <mergeCell ref="X21:Y21"/>
    <mergeCell ref="X8:Y8"/>
    <mergeCell ref="X18:Y18"/>
    <mergeCell ref="X19:Y19"/>
    <mergeCell ref="X16:Y16"/>
    <mergeCell ref="X20:Y20"/>
    <mergeCell ref="X17:Y17"/>
    <mergeCell ref="X23:Y23"/>
    <mergeCell ref="X22:Y22"/>
    <mergeCell ref="X25:Y25"/>
    <mergeCell ref="C38:I38"/>
    <mergeCell ref="X4:AA4"/>
    <mergeCell ref="X7:Y7"/>
    <mergeCell ref="X5:Y5"/>
    <mergeCell ref="X6:Y6"/>
    <mergeCell ref="X9:Y9"/>
    <mergeCell ref="X15:Y15"/>
    <mergeCell ref="H41:I41"/>
    <mergeCell ref="C40:I40"/>
    <mergeCell ref="H39:I39"/>
    <mergeCell ref="C39:G39"/>
    <mergeCell ref="X26:Y26"/>
    <mergeCell ref="X24:Y24"/>
    <mergeCell ref="Z43:AA43"/>
    <mergeCell ref="R41:U42"/>
    <mergeCell ref="P38:P39"/>
    <mergeCell ref="L41:O42"/>
    <mergeCell ref="L38:O39"/>
    <mergeCell ref="N40:O40"/>
    <mergeCell ref="L40:M40"/>
    <mergeCell ref="V41:V42"/>
    <mergeCell ref="V38:V39"/>
    <mergeCell ref="P41:P42"/>
    <mergeCell ref="AB41:AB42"/>
    <mergeCell ref="X41:AA42"/>
    <mergeCell ref="Z40:AA40"/>
    <mergeCell ref="X38:AA39"/>
    <mergeCell ref="R38:U39"/>
    <mergeCell ref="R40:S40"/>
    <mergeCell ref="T40:U40"/>
    <mergeCell ref="AB38:AB39"/>
    <mergeCell ref="B48:I48"/>
    <mergeCell ref="B47:I47"/>
    <mergeCell ref="T43:U43"/>
    <mergeCell ref="B46:I46"/>
    <mergeCell ref="B44:I44"/>
    <mergeCell ref="B45:I45"/>
    <mergeCell ref="N43:O43"/>
    <mergeCell ref="B43:I43"/>
  </mergeCells>
  <dataValidations count="1">
    <dataValidation allowBlank="1" showInputMessage="1" showErrorMessage="1" promptTitle="&quot;Биекс Одит&quot; ООД:" prompt="Въведи числото със знак минус &quot;-&quot;!&#10;" sqref="Z7:AA7 Z25:AA25 Z22:AA22 Z19:AA19 Z16:AA16 Z13:AA13 Z10:AA10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34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197"/>
  <sheetViews>
    <sheetView zoomScalePageLayoutView="0" workbookViewId="0" topLeftCell="A202">
      <selection activeCell="B46" sqref="B46:F46"/>
    </sheetView>
  </sheetViews>
  <sheetFormatPr defaultColWidth="9.140625" defaultRowHeight="12.75"/>
  <cols>
    <col min="1" max="1" width="4.28125" style="197" customWidth="1"/>
    <col min="2" max="6" width="6.28125" style="197" customWidth="1"/>
    <col min="7" max="7" width="6.140625" style="197" customWidth="1"/>
    <col min="8" max="8" width="5.00390625" style="197" customWidth="1"/>
    <col min="9" max="9" width="6.140625" style="197" customWidth="1"/>
    <col min="10" max="10" width="5.140625" style="197" customWidth="1"/>
    <col min="11" max="11" width="6.140625" style="197" customWidth="1"/>
    <col min="12" max="12" width="5.00390625" style="197" customWidth="1"/>
    <col min="13" max="13" width="6.140625" style="197" customWidth="1"/>
    <col min="14" max="14" width="5.00390625" style="197" customWidth="1"/>
    <col min="15" max="16384" width="9.140625" style="197" customWidth="1"/>
  </cols>
  <sheetData>
    <row r="1" spans="2:14" ht="15"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</row>
    <row r="2" spans="2:14" ht="12.75">
      <c r="B2" s="604" t="s">
        <v>491</v>
      </c>
      <c r="C2" s="617"/>
      <c r="D2" s="617"/>
      <c r="E2" s="617"/>
      <c r="F2" s="617"/>
      <c r="G2" s="617"/>
      <c r="H2" s="617"/>
      <c r="I2" s="617"/>
      <c r="J2" s="605"/>
      <c r="K2" s="619" t="s">
        <v>740</v>
      </c>
      <c r="L2" s="620"/>
      <c r="M2" s="604" t="s">
        <v>718</v>
      </c>
      <c r="N2" s="605"/>
    </row>
    <row r="3" spans="2:14" ht="12.75">
      <c r="B3" s="606"/>
      <c r="C3" s="618"/>
      <c r="D3" s="618"/>
      <c r="E3" s="618"/>
      <c r="F3" s="618"/>
      <c r="G3" s="618"/>
      <c r="H3" s="618"/>
      <c r="I3" s="618"/>
      <c r="J3" s="607"/>
      <c r="K3" s="621"/>
      <c r="L3" s="622"/>
      <c r="M3" s="606"/>
      <c r="N3" s="607"/>
    </row>
    <row r="4" spans="2:14" ht="12.75">
      <c r="B4" s="608" t="s">
        <v>492</v>
      </c>
      <c r="C4" s="609"/>
      <c r="D4" s="609"/>
      <c r="E4" s="609"/>
      <c r="F4" s="609"/>
      <c r="G4" s="609"/>
      <c r="H4" s="609"/>
      <c r="I4" s="609"/>
      <c r="J4" s="610"/>
      <c r="K4" s="612">
        <v>3021</v>
      </c>
      <c r="L4" s="613"/>
      <c r="M4" s="612">
        <v>2408</v>
      </c>
      <c r="N4" s="613"/>
    </row>
    <row r="5" spans="2:20" ht="12.75">
      <c r="B5" s="608" t="s">
        <v>493</v>
      </c>
      <c r="C5" s="609"/>
      <c r="D5" s="609"/>
      <c r="E5" s="609"/>
      <c r="F5" s="609"/>
      <c r="G5" s="609"/>
      <c r="H5" s="609"/>
      <c r="I5" s="609"/>
      <c r="J5" s="610"/>
      <c r="K5" s="612"/>
      <c r="L5" s="613"/>
      <c r="M5" s="612"/>
      <c r="N5" s="613"/>
      <c r="P5" s="582">
        <f>IF(AND(S6="",S8=""),"","Разлика между БАЛАНСА и ПРИЛОЖЕНИЕТО!")</f>
      </c>
      <c r="Q5" s="582"/>
      <c r="R5" s="582"/>
      <c r="S5" s="582"/>
      <c r="T5" s="582"/>
    </row>
    <row r="6" spans="2:20" ht="12.75">
      <c r="B6" s="608" t="s">
        <v>494</v>
      </c>
      <c r="C6" s="609"/>
      <c r="D6" s="609"/>
      <c r="E6" s="609"/>
      <c r="F6" s="609"/>
      <c r="G6" s="609"/>
      <c r="H6" s="609"/>
      <c r="I6" s="609"/>
      <c r="J6" s="610"/>
      <c r="K6" s="612"/>
      <c r="L6" s="613"/>
      <c r="M6" s="612"/>
      <c r="N6" s="613"/>
      <c r="P6" s="583">
        <f>IF(S6="","","Разлика текущ период:")</f>
      </c>
      <c r="Q6" s="583"/>
      <c r="R6" s="583"/>
      <c r="S6" s="427">
        <f>IF(K9=баланс!E10,"",K9-баланс!E10)</f>
      </c>
      <c r="T6" s="426"/>
    </row>
    <row r="7" spans="2:20" ht="12.75">
      <c r="B7" s="608" t="s">
        <v>502</v>
      </c>
      <c r="C7" s="609"/>
      <c r="D7" s="609"/>
      <c r="E7" s="609"/>
      <c r="F7" s="609"/>
      <c r="G7" s="609"/>
      <c r="H7" s="609"/>
      <c r="I7" s="609"/>
      <c r="J7" s="610"/>
      <c r="K7" s="612"/>
      <c r="L7" s="613"/>
      <c r="M7" s="612"/>
      <c r="N7" s="613"/>
      <c r="P7" s="584">
        <f>IF(S6="","","Сума по баланс:")</f>
      </c>
      <c r="Q7" s="584"/>
      <c r="R7" s="584"/>
      <c r="S7" s="428">
        <f>IF(S6="","",баланс!E10)</f>
      </c>
      <c r="T7" s="426"/>
    </row>
    <row r="8" spans="2:20" ht="12.75">
      <c r="B8" s="608" t="s">
        <v>247</v>
      </c>
      <c r="C8" s="609"/>
      <c r="D8" s="609"/>
      <c r="E8" s="609"/>
      <c r="F8" s="609"/>
      <c r="G8" s="609"/>
      <c r="H8" s="609"/>
      <c r="I8" s="609"/>
      <c r="J8" s="610"/>
      <c r="K8" s="612"/>
      <c r="L8" s="613"/>
      <c r="M8" s="612"/>
      <c r="N8" s="613"/>
      <c r="P8" s="583"/>
      <c r="Q8" s="583"/>
      <c r="R8" s="583"/>
      <c r="S8" s="427">
        <f>IF(M9=баланс!G10,"",M9-баланс!G10)</f>
      </c>
      <c r="T8" s="426"/>
    </row>
    <row r="9" spans="2:20" ht="12.75">
      <c r="B9" s="594" t="s">
        <v>85</v>
      </c>
      <c r="C9" s="595"/>
      <c r="D9" s="595"/>
      <c r="E9" s="595"/>
      <c r="F9" s="595"/>
      <c r="G9" s="595"/>
      <c r="H9" s="595"/>
      <c r="I9" s="595"/>
      <c r="J9" s="596"/>
      <c r="K9" s="614">
        <f>SUM(K4:L7)</f>
        <v>3021</v>
      </c>
      <c r="L9" s="615"/>
      <c r="M9" s="614">
        <f>SUM(M4:N7)</f>
        <v>2408</v>
      </c>
      <c r="N9" s="615"/>
      <c r="P9" s="584">
        <f>IF(S8="","","Сума по баланс:")</f>
      </c>
      <c r="Q9" s="584"/>
      <c r="R9" s="584"/>
      <c r="S9" s="428">
        <f>IF(S8="","",баланс!G10)</f>
      </c>
      <c r="T9" s="426"/>
    </row>
    <row r="10" spans="2:14" ht="15">
      <c r="B10" s="624" t="s">
        <v>221</v>
      </c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</row>
    <row r="11" spans="2:14" ht="12.75">
      <c r="B11" s="625" t="s">
        <v>222</v>
      </c>
      <c r="C11" s="625"/>
      <c r="D11" s="625"/>
      <c r="E11" s="625"/>
      <c r="F11" s="625"/>
      <c r="G11" s="601" t="s">
        <v>740</v>
      </c>
      <c r="H11" s="627"/>
      <c r="I11" s="627"/>
      <c r="J11" s="628"/>
      <c r="K11" s="601" t="s">
        <v>718</v>
      </c>
      <c r="L11" s="602"/>
      <c r="M11" s="602"/>
      <c r="N11" s="600"/>
    </row>
    <row r="12" spans="2:14" ht="12.75">
      <c r="B12" s="625"/>
      <c r="C12" s="625"/>
      <c r="D12" s="625"/>
      <c r="E12" s="625"/>
      <c r="F12" s="625"/>
      <c r="G12" s="599" t="s">
        <v>223</v>
      </c>
      <c r="H12" s="600"/>
      <c r="I12" s="599" t="s">
        <v>224</v>
      </c>
      <c r="J12" s="600"/>
      <c r="K12" s="599" t="s">
        <v>223</v>
      </c>
      <c r="L12" s="600"/>
      <c r="M12" s="599" t="s">
        <v>224</v>
      </c>
      <c r="N12" s="600"/>
    </row>
    <row r="13" spans="2:14" ht="12.75">
      <c r="B13" s="603"/>
      <c r="C13" s="603"/>
      <c r="D13" s="603"/>
      <c r="E13" s="603"/>
      <c r="F13" s="603"/>
      <c r="G13" s="587"/>
      <c r="H13" s="588"/>
      <c r="I13" s="612"/>
      <c r="J13" s="613"/>
      <c r="K13" s="587"/>
      <c r="L13" s="588"/>
      <c r="M13" s="612"/>
      <c r="N13" s="613"/>
    </row>
    <row r="14" spans="2:14" ht="12.75">
      <c r="B14" s="603"/>
      <c r="C14" s="603"/>
      <c r="D14" s="603"/>
      <c r="E14" s="603"/>
      <c r="F14" s="603"/>
      <c r="G14" s="587"/>
      <c r="H14" s="588"/>
      <c r="I14" s="612"/>
      <c r="J14" s="613"/>
      <c r="K14" s="587"/>
      <c r="L14" s="588"/>
      <c r="M14" s="612"/>
      <c r="N14" s="613"/>
    </row>
    <row r="15" spans="2:14" ht="12.75">
      <c r="B15" s="603"/>
      <c r="C15" s="603"/>
      <c r="D15" s="603"/>
      <c r="E15" s="603"/>
      <c r="F15" s="603"/>
      <c r="G15" s="587"/>
      <c r="H15" s="588"/>
      <c r="I15" s="612"/>
      <c r="J15" s="613"/>
      <c r="K15" s="587"/>
      <c r="L15" s="588"/>
      <c r="M15" s="612"/>
      <c r="N15" s="613"/>
    </row>
    <row r="16" spans="2:14" ht="12.75">
      <c r="B16" s="603"/>
      <c r="C16" s="603"/>
      <c r="D16" s="603"/>
      <c r="E16" s="603"/>
      <c r="F16" s="603"/>
      <c r="G16" s="587"/>
      <c r="H16" s="588"/>
      <c r="I16" s="612"/>
      <c r="J16" s="613"/>
      <c r="K16" s="587"/>
      <c r="L16" s="588"/>
      <c r="M16" s="612"/>
      <c r="N16" s="613"/>
    </row>
    <row r="17" spans="2:15" ht="12.75">
      <c r="B17" s="603"/>
      <c r="C17" s="603"/>
      <c r="D17" s="603"/>
      <c r="E17" s="603"/>
      <c r="F17" s="603"/>
      <c r="G17" s="587"/>
      <c r="H17" s="588"/>
      <c r="I17" s="612"/>
      <c r="J17" s="613"/>
      <c r="K17" s="587"/>
      <c r="L17" s="588"/>
      <c r="M17" s="612"/>
      <c r="N17" s="613"/>
      <c r="O17" s="197" t="s">
        <v>30</v>
      </c>
    </row>
    <row r="18" spans="2:14" ht="12.75">
      <c r="B18" s="603"/>
      <c r="C18" s="603"/>
      <c r="D18" s="603"/>
      <c r="E18" s="603"/>
      <c r="F18" s="603"/>
      <c r="G18" s="587"/>
      <c r="H18" s="588"/>
      <c r="I18" s="612"/>
      <c r="J18" s="613"/>
      <c r="K18" s="587"/>
      <c r="L18" s="588"/>
      <c r="M18" s="612"/>
      <c r="N18" s="613"/>
    </row>
    <row r="19" spans="2:20" ht="12.75">
      <c r="B19" s="603"/>
      <c r="C19" s="603"/>
      <c r="D19" s="603"/>
      <c r="E19" s="603"/>
      <c r="F19" s="603"/>
      <c r="G19" s="587"/>
      <c r="H19" s="588"/>
      <c r="I19" s="612"/>
      <c r="J19" s="613"/>
      <c r="K19" s="587"/>
      <c r="L19" s="588"/>
      <c r="M19" s="612"/>
      <c r="N19" s="613"/>
      <c r="P19" s="582">
        <f>IF(AND(S20="",S22=""),"","Разлика между ИНВЕСТИЦИИТЕ и ПРИЛ. №1!")</f>
      </c>
      <c r="Q19" s="582"/>
      <c r="R19" s="582"/>
      <c r="S19" s="582"/>
      <c r="T19" s="582"/>
    </row>
    <row r="20" spans="2:20" ht="12.75">
      <c r="B20" s="603"/>
      <c r="C20" s="603"/>
      <c r="D20" s="603"/>
      <c r="E20" s="603"/>
      <c r="F20" s="603"/>
      <c r="G20" s="587"/>
      <c r="H20" s="588"/>
      <c r="I20" s="612"/>
      <c r="J20" s="613"/>
      <c r="K20" s="587"/>
      <c r="L20" s="588"/>
      <c r="M20" s="612"/>
      <c r="N20" s="613"/>
      <c r="P20" s="583">
        <f>IF(S20="","","Разлика текущ период:")</f>
      </c>
      <c r="Q20" s="583"/>
      <c r="R20" s="583"/>
      <c r="S20" s="427">
        <f>IF(I$23+I$37+I$51=K$4,"",I$23+I$37+I$51-K$4)</f>
      </c>
      <c r="T20" s="426"/>
    </row>
    <row r="21" spans="2:20" ht="12.75">
      <c r="B21" s="603"/>
      <c r="C21" s="603"/>
      <c r="D21" s="603"/>
      <c r="E21" s="603"/>
      <c r="F21" s="603"/>
      <c r="G21" s="587"/>
      <c r="H21" s="588"/>
      <c r="I21" s="612"/>
      <c r="J21" s="613"/>
      <c r="K21" s="587"/>
      <c r="L21" s="588"/>
      <c r="M21" s="612"/>
      <c r="N21" s="613"/>
      <c r="P21" s="584">
        <f>IF(S20="","","Обща сума на инвестицците:")</f>
      </c>
      <c r="Q21" s="584"/>
      <c r="R21" s="584"/>
      <c r="S21" s="428">
        <f>IF(I$23+I$37+I$51=K$4,"",I$23+I$37+I$51)</f>
      </c>
      <c r="T21" s="426"/>
    </row>
    <row r="22" spans="2:20" ht="12.75">
      <c r="B22" s="603"/>
      <c r="C22" s="603"/>
      <c r="D22" s="603"/>
      <c r="E22" s="603"/>
      <c r="F22" s="603"/>
      <c r="G22" s="587"/>
      <c r="H22" s="588"/>
      <c r="I22" s="612"/>
      <c r="J22" s="613"/>
      <c r="K22" s="587"/>
      <c r="L22" s="588"/>
      <c r="M22" s="612"/>
      <c r="N22" s="613"/>
      <c r="P22" s="583"/>
      <c r="Q22" s="583"/>
      <c r="R22" s="583"/>
      <c r="S22" s="427">
        <f>IF(M$23+M$37+M$51=M$4,"",M$23+M$37+M$51-M$4)</f>
      </c>
      <c r="T22" s="426"/>
    </row>
    <row r="23" spans="2:20" ht="12.75">
      <c r="B23" s="623" t="s">
        <v>85</v>
      </c>
      <c r="C23" s="623"/>
      <c r="D23" s="623"/>
      <c r="E23" s="623"/>
      <c r="F23" s="623"/>
      <c r="G23" s="589"/>
      <c r="H23" s="590"/>
      <c r="I23" s="591">
        <f>SUM(I13:J22)</f>
        <v>0</v>
      </c>
      <c r="J23" s="592"/>
      <c r="K23" s="589"/>
      <c r="L23" s="590"/>
      <c r="M23" s="591">
        <f>SUM(M13:N22)</f>
        <v>0</v>
      </c>
      <c r="N23" s="592"/>
      <c r="P23" s="584">
        <f>IF(S22="","","Обща сума на инвестицците:")</f>
      </c>
      <c r="Q23" s="584"/>
      <c r="R23" s="584"/>
      <c r="S23" s="428">
        <f>IF(M$23+M$37+M$51=M$4,"",M$23+M$37+M$51)</f>
      </c>
      <c r="T23" s="426"/>
    </row>
    <row r="24" spans="2:14" ht="15">
      <c r="B24" s="624" t="s">
        <v>225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</row>
    <row r="25" spans="2:14" ht="12.75">
      <c r="B25" s="625" t="s">
        <v>222</v>
      </c>
      <c r="C25" s="625"/>
      <c r="D25" s="625"/>
      <c r="E25" s="625"/>
      <c r="F25" s="625"/>
      <c r="G25" s="601" t="str">
        <f>G11</f>
        <v>31.12.2016г.</v>
      </c>
      <c r="H25" s="602"/>
      <c r="I25" s="602"/>
      <c r="J25" s="600"/>
      <c r="K25" s="601" t="str">
        <f>K11</f>
        <v>31.12.2015 г.</v>
      </c>
      <c r="L25" s="602"/>
      <c r="M25" s="602"/>
      <c r="N25" s="600"/>
    </row>
    <row r="26" spans="2:14" ht="12.75">
      <c r="B26" s="625"/>
      <c r="C26" s="625"/>
      <c r="D26" s="625"/>
      <c r="E26" s="625"/>
      <c r="F26" s="625"/>
      <c r="G26" s="599" t="s">
        <v>223</v>
      </c>
      <c r="H26" s="600"/>
      <c r="I26" s="599" t="s">
        <v>224</v>
      </c>
      <c r="J26" s="600"/>
      <c r="K26" s="599" t="s">
        <v>223</v>
      </c>
      <c r="L26" s="600"/>
      <c r="M26" s="599" t="s">
        <v>224</v>
      </c>
      <c r="N26" s="600"/>
    </row>
    <row r="27" spans="2:14" ht="12.75">
      <c r="B27" s="603"/>
      <c r="C27" s="603"/>
      <c r="D27" s="603"/>
      <c r="E27" s="603"/>
      <c r="F27" s="603"/>
      <c r="G27" s="587"/>
      <c r="H27" s="588"/>
      <c r="I27" s="612"/>
      <c r="J27" s="613"/>
      <c r="K27" s="587"/>
      <c r="L27" s="588"/>
      <c r="M27" s="612"/>
      <c r="N27" s="613"/>
    </row>
    <row r="28" spans="2:14" ht="12.75">
      <c r="B28" s="603"/>
      <c r="C28" s="603"/>
      <c r="D28" s="603"/>
      <c r="E28" s="603"/>
      <c r="F28" s="603"/>
      <c r="G28" s="587"/>
      <c r="H28" s="588"/>
      <c r="I28" s="612"/>
      <c r="J28" s="613"/>
      <c r="K28" s="587"/>
      <c r="L28" s="588"/>
      <c r="M28" s="612"/>
      <c r="N28" s="613"/>
    </row>
    <row r="29" spans="2:14" ht="12.75">
      <c r="B29" s="603"/>
      <c r="C29" s="603"/>
      <c r="D29" s="603"/>
      <c r="E29" s="603"/>
      <c r="F29" s="603"/>
      <c r="G29" s="587"/>
      <c r="H29" s="588"/>
      <c r="I29" s="612"/>
      <c r="J29" s="613"/>
      <c r="K29" s="587"/>
      <c r="L29" s="588"/>
      <c r="M29" s="612"/>
      <c r="N29" s="613"/>
    </row>
    <row r="30" spans="2:14" ht="12.75">
      <c r="B30" s="603"/>
      <c r="C30" s="603"/>
      <c r="D30" s="603"/>
      <c r="E30" s="603"/>
      <c r="F30" s="603"/>
      <c r="G30" s="587"/>
      <c r="H30" s="588"/>
      <c r="I30" s="612"/>
      <c r="J30" s="613"/>
      <c r="K30" s="587"/>
      <c r="L30" s="588"/>
      <c r="M30" s="612"/>
      <c r="N30" s="613"/>
    </row>
    <row r="31" spans="2:14" ht="12.75">
      <c r="B31" s="603"/>
      <c r="C31" s="603"/>
      <c r="D31" s="603"/>
      <c r="E31" s="603"/>
      <c r="F31" s="603"/>
      <c r="G31" s="587"/>
      <c r="H31" s="588"/>
      <c r="I31" s="612"/>
      <c r="J31" s="613"/>
      <c r="K31" s="587"/>
      <c r="L31" s="588"/>
      <c r="M31" s="612"/>
      <c r="N31" s="613"/>
    </row>
    <row r="32" spans="2:14" ht="12.75">
      <c r="B32" s="603"/>
      <c r="C32" s="603"/>
      <c r="D32" s="603"/>
      <c r="E32" s="603"/>
      <c r="F32" s="603"/>
      <c r="G32" s="587"/>
      <c r="H32" s="588"/>
      <c r="I32" s="612"/>
      <c r="J32" s="613"/>
      <c r="K32" s="587"/>
      <c r="L32" s="588"/>
      <c r="M32" s="612"/>
      <c r="N32" s="613"/>
    </row>
    <row r="33" spans="2:14" ht="12.75">
      <c r="B33" s="603"/>
      <c r="C33" s="603"/>
      <c r="D33" s="603"/>
      <c r="E33" s="603"/>
      <c r="F33" s="603"/>
      <c r="G33" s="587"/>
      <c r="H33" s="588"/>
      <c r="I33" s="612"/>
      <c r="J33" s="613"/>
      <c r="K33" s="587"/>
      <c r="L33" s="588"/>
      <c r="M33" s="612"/>
      <c r="N33" s="613"/>
    </row>
    <row r="34" spans="2:14" ht="12.75">
      <c r="B34" s="603"/>
      <c r="C34" s="603"/>
      <c r="D34" s="603"/>
      <c r="E34" s="603"/>
      <c r="F34" s="603"/>
      <c r="G34" s="587"/>
      <c r="H34" s="588"/>
      <c r="I34" s="612"/>
      <c r="J34" s="613"/>
      <c r="K34" s="587"/>
      <c r="L34" s="588"/>
      <c r="M34" s="612"/>
      <c r="N34" s="613"/>
    </row>
    <row r="35" spans="2:14" ht="12.75">
      <c r="B35" s="603"/>
      <c r="C35" s="603"/>
      <c r="D35" s="603"/>
      <c r="E35" s="603"/>
      <c r="F35" s="603"/>
      <c r="G35" s="587"/>
      <c r="H35" s="588"/>
      <c r="I35" s="612"/>
      <c r="J35" s="613"/>
      <c r="K35" s="587"/>
      <c r="L35" s="588"/>
      <c r="M35" s="612"/>
      <c r="N35" s="613"/>
    </row>
    <row r="36" spans="2:14" ht="12.75">
      <c r="B36" s="603"/>
      <c r="C36" s="603"/>
      <c r="D36" s="603"/>
      <c r="E36" s="603"/>
      <c r="F36" s="603"/>
      <c r="G36" s="587"/>
      <c r="H36" s="588"/>
      <c r="I36" s="612"/>
      <c r="J36" s="613"/>
      <c r="K36" s="587"/>
      <c r="L36" s="588"/>
      <c r="M36" s="612"/>
      <c r="N36" s="613"/>
    </row>
    <row r="37" spans="2:14" ht="12.75">
      <c r="B37" s="623" t="s">
        <v>85</v>
      </c>
      <c r="C37" s="623"/>
      <c r="D37" s="623"/>
      <c r="E37" s="623"/>
      <c r="F37" s="623"/>
      <c r="G37" s="589"/>
      <c r="H37" s="590"/>
      <c r="I37" s="591">
        <f>SUM(I27:J36)</f>
        <v>0</v>
      </c>
      <c r="J37" s="592"/>
      <c r="K37" s="589"/>
      <c r="L37" s="590"/>
      <c r="M37" s="591">
        <f>SUM(M27:N36)</f>
        <v>0</v>
      </c>
      <c r="N37" s="592"/>
    </row>
    <row r="38" spans="2:14" ht="15">
      <c r="B38" s="624" t="s">
        <v>226</v>
      </c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</row>
    <row r="39" spans="2:14" ht="12.75">
      <c r="B39" s="625" t="s">
        <v>222</v>
      </c>
      <c r="C39" s="625"/>
      <c r="D39" s="625"/>
      <c r="E39" s="625"/>
      <c r="F39" s="625"/>
      <c r="G39" s="601" t="str">
        <f>G11</f>
        <v>31.12.2016г.</v>
      </c>
      <c r="H39" s="602"/>
      <c r="I39" s="602"/>
      <c r="J39" s="600"/>
      <c r="K39" s="601" t="str">
        <f>K11</f>
        <v>31.12.2015 г.</v>
      </c>
      <c r="L39" s="602"/>
      <c r="M39" s="602"/>
      <c r="N39" s="600"/>
    </row>
    <row r="40" spans="2:14" ht="12.75">
      <c r="B40" s="625"/>
      <c r="C40" s="625"/>
      <c r="D40" s="625"/>
      <c r="E40" s="625"/>
      <c r="F40" s="625"/>
      <c r="G40" s="599" t="s">
        <v>223</v>
      </c>
      <c r="H40" s="600"/>
      <c r="I40" s="599" t="s">
        <v>224</v>
      </c>
      <c r="J40" s="600"/>
      <c r="K40" s="599" t="s">
        <v>223</v>
      </c>
      <c r="L40" s="600"/>
      <c r="M40" s="599" t="s">
        <v>224</v>
      </c>
      <c r="N40" s="600"/>
    </row>
    <row r="41" spans="2:14" ht="12.75">
      <c r="B41" s="603" t="s">
        <v>630</v>
      </c>
      <c r="C41" s="603"/>
      <c r="D41" s="603"/>
      <c r="E41" s="603"/>
      <c r="F41" s="603"/>
      <c r="G41" s="587"/>
      <c r="H41" s="588"/>
      <c r="I41" s="612">
        <v>318</v>
      </c>
      <c r="J41" s="613"/>
      <c r="K41" s="587"/>
      <c r="L41" s="588"/>
      <c r="M41" s="612">
        <v>318</v>
      </c>
      <c r="N41" s="613"/>
    </row>
    <row r="42" spans="2:14" ht="12.75">
      <c r="B42" s="603" t="s">
        <v>664</v>
      </c>
      <c r="C42" s="603"/>
      <c r="D42" s="603"/>
      <c r="E42" s="603"/>
      <c r="F42" s="603"/>
      <c r="G42" s="587"/>
      <c r="H42" s="588"/>
      <c r="I42" s="612">
        <v>261</v>
      </c>
      <c r="J42" s="613"/>
      <c r="K42" s="587"/>
      <c r="L42" s="588"/>
      <c r="M42" s="612">
        <v>261</v>
      </c>
      <c r="N42" s="613"/>
    </row>
    <row r="43" spans="2:14" ht="12.75">
      <c r="B43" s="603" t="s">
        <v>664</v>
      </c>
      <c r="C43" s="603"/>
      <c r="D43" s="603"/>
      <c r="E43" s="603"/>
      <c r="F43" s="603"/>
      <c r="G43" s="587"/>
      <c r="H43" s="588"/>
      <c r="I43" s="612">
        <v>1246</v>
      </c>
      <c r="J43" s="613"/>
      <c r="K43" s="587"/>
      <c r="L43" s="588"/>
      <c r="M43" s="612">
        <v>1246</v>
      </c>
      <c r="N43" s="613"/>
    </row>
    <row r="44" spans="2:14" ht="12.75">
      <c r="B44" s="603" t="s">
        <v>664</v>
      </c>
      <c r="C44" s="603"/>
      <c r="D44" s="603"/>
      <c r="E44" s="603"/>
      <c r="F44" s="603"/>
      <c r="G44" s="587"/>
      <c r="H44" s="588"/>
      <c r="I44" s="612">
        <v>583</v>
      </c>
      <c r="J44" s="613"/>
      <c r="K44" s="587"/>
      <c r="L44" s="588"/>
      <c r="M44" s="612">
        <v>583</v>
      </c>
      <c r="N44" s="613"/>
    </row>
    <row r="45" spans="2:14" ht="12.75">
      <c r="B45" s="603" t="s">
        <v>664</v>
      </c>
      <c r="C45" s="603"/>
      <c r="D45" s="603"/>
      <c r="E45" s="603"/>
      <c r="F45" s="603"/>
      <c r="G45" s="587"/>
      <c r="H45" s="588"/>
      <c r="I45" s="612">
        <v>309</v>
      </c>
      <c r="J45" s="613"/>
      <c r="K45" s="587"/>
      <c r="L45" s="588"/>
      <c r="M45" s="612"/>
      <c r="N45" s="613"/>
    </row>
    <row r="46" spans="2:14" ht="12.75">
      <c r="B46" s="603" t="s">
        <v>664</v>
      </c>
      <c r="C46" s="603"/>
      <c r="D46" s="603"/>
      <c r="E46" s="603"/>
      <c r="F46" s="603"/>
      <c r="G46" s="587"/>
      <c r="H46" s="588"/>
      <c r="I46" s="612">
        <v>304</v>
      </c>
      <c r="J46" s="613"/>
      <c r="K46" s="587"/>
      <c r="L46" s="588"/>
      <c r="M46" s="612"/>
      <c r="N46" s="613"/>
    </row>
    <row r="47" spans="2:14" ht="12.75">
      <c r="B47" s="603"/>
      <c r="C47" s="603"/>
      <c r="D47" s="603"/>
      <c r="E47" s="603"/>
      <c r="F47" s="603"/>
      <c r="G47" s="587"/>
      <c r="H47" s="588"/>
      <c r="I47" s="612"/>
      <c r="J47" s="613"/>
      <c r="K47" s="587"/>
      <c r="L47" s="588"/>
      <c r="M47" s="612"/>
      <c r="N47" s="613"/>
    </row>
    <row r="48" spans="2:14" ht="12.75">
      <c r="B48" s="603"/>
      <c r="C48" s="603"/>
      <c r="D48" s="603"/>
      <c r="E48" s="603"/>
      <c r="F48" s="603"/>
      <c r="G48" s="587"/>
      <c r="H48" s="588"/>
      <c r="I48" s="612"/>
      <c r="J48" s="613"/>
      <c r="K48" s="587"/>
      <c r="L48" s="588"/>
      <c r="M48" s="612"/>
      <c r="N48" s="613"/>
    </row>
    <row r="49" spans="2:14" ht="12.75">
      <c r="B49" s="603"/>
      <c r="C49" s="603"/>
      <c r="D49" s="603"/>
      <c r="E49" s="603"/>
      <c r="F49" s="603"/>
      <c r="G49" s="587"/>
      <c r="H49" s="588"/>
      <c r="I49" s="612"/>
      <c r="J49" s="613"/>
      <c r="K49" s="587"/>
      <c r="L49" s="588"/>
      <c r="M49" s="612"/>
      <c r="N49" s="613"/>
    </row>
    <row r="50" spans="2:14" ht="12.75">
      <c r="B50" s="603"/>
      <c r="C50" s="603"/>
      <c r="D50" s="603"/>
      <c r="E50" s="603"/>
      <c r="F50" s="603"/>
      <c r="G50" s="587"/>
      <c r="H50" s="588"/>
      <c r="I50" s="612"/>
      <c r="J50" s="613"/>
      <c r="K50" s="587"/>
      <c r="L50" s="588"/>
      <c r="M50" s="612"/>
      <c r="N50" s="613"/>
    </row>
    <row r="51" spans="2:14" ht="12.75">
      <c r="B51" s="623" t="s">
        <v>85</v>
      </c>
      <c r="C51" s="623"/>
      <c r="D51" s="623"/>
      <c r="E51" s="623"/>
      <c r="F51" s="623"/>
      <c r="G51" s="589"/>
      <c r="H51" s="590"/>
      <c r="I51" s="591">
        <f>SUM(I41:J50)</f>
        <v>3021</v>
      </c>
      <c r="J51" s="592"/>
      <c r="K51" s="589"/>
      <c r="L51" s="590"/>
      <c r="M51" s="591">
        <f>SUM(M41:N50)</f>
        <v>2408</v>
      </c>
      <c r="N51" s="592"/>
    </row>
    <row r="52" spans="2:14" ht="15">
      <c r="B52" s="593" t="s">
        <v>493</v>
      </c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</row>
    <row r="53" spans="2:14" ht="12.75">
      <c r="B53" s="611" t="s">
        <v>227</v>
      </c>
      <c r="C53" s="611"/>
      <c r="D53" s="611" t="s">
        <v>228</v>
      </c>
      <c r="E53" s="611"/>
      <c r="F53" s="611"/>
      <c r="G53" s="601" t="str">
        <f>G11</f>
        <v>31.12.2016г.</v>
      </c>
      <c r="H53" s="602"/>
      <c r="I53" s="602"/>
      <c r="J53" s="600"/>
      <c r="K53" s="601" t="str">
        <f>K25</f>
        <v>31.12.2015 г.</v>
      </c>
      <c r="L53" s="602"/>
      <c r="M53" s="602"/>
      <c r="N53" s="600"/>
    </row>
    <row r="54" spans="2:14" ht="12.75">
      <c r="B54" s="611"/>
      <c r="C54" s="611"/>
      <c r="D54" s="611"/>
      <c r="E54" s="611"/>
      <c r="F54" s="611"/>
      <c r="G54" s="599" t="s">
        <v>223</v>
      </c>
      <c r="H54" s="600"/>
      <c r="I54" s="599" t="s">
        <v>224</v>
      </c>
      <c r="J54" s="600"/>
      <c r="K54" s="599" t="s">
        <v>223</v>
      </c>
      <c r="L54" s="600"/>
      <c r="M54" s="599" t="s">
        <v>224</v>
      </c>
      <c r="N54" s="600"/>
    </row>
    <row r="55" spans="2:14" ht="12.75">
      <c r="B55" s="603"/>
      <c r="C55" s="603"/>
      <c r="D55" s="603"/>
      <c r="E55" s="603"/>
      <c r="F55" s="603"/>
      <c r="G55" s="587"/>
      <c r="H55" s="588"/>
      <c r="I55" s="585"/>
      <c r="J55" s="586"/>
      <c r="K55" s="587"/>
      <c r="L55" s="588"/>
      <c r="M55" s="585"/>
      <c r="N55" s="586"/>
    </row>
    <row r="56" spans="2:14" ht="12.75">
      <c r="B56" s="603"/>
      <c r="C56" s="603"/>
      <c r="D56" s="603"/>
      <c r="E56" s="603"/>
      <c r="F56" s="603"/>
      <c r="G56" s="587"/>
      <c r="H56" s="588"/>
      <c r="I56" s="585"/>
      <c r="J56" s="586"/>
      <c r="K56" s="587"/>
      <c r="L56" s="588"/>
      <c r="M56" s="585"/>
      <c r="N56" s="586"/>
    </row>
    <row r="57" spans="2:14" ht="12.75">
      <c r="B57" s="603"/>
      <c r="C57" s="603"/>
      <c r="D57" s="603"/>
      <c r="E57" s="603"/>
      <c r="F57" s="603"/>
      <c r="G57" s="587"/>
      <c r="H57" s="588"/>
      <c r="I57" s="585"/>
      <c r="J57" s="586"/>
      <c r="K57" s="587"/>
      <c r="L57" s="588"/>
      <c r="M57" s="585"/>
      <c r="N57" s="586"/>
    </row>
    <row r="58" spans="2:14" ht="12.75">
      <c r="B58" s="603"/>
      <c r="C58" s="603"/>
      <c r="D58" s="603"/>
      <c r="E58" s="603"/>
      <c r="F58" s="603"/>
      <c r="G58" s="587"/>
      <c r="H58" s="588"/>
      <c r="I58" s="585"/>
      <c r="J58" s="586"/>
      <c r="K58" s="587"/>
      <c r="L58" s="588"/>
      <c r="M58" s="585"/>
      <c r="N58" s="586"/>
    </row>
    <row r="59" spans="2:14" ht="12.75">
      <c r="B59" s="603"/>
      <c r="C59" s="603"/>
      <c r="D59" s="603"/>
      <c r="E59" s="603"/>
      <c r="F59" s="603"/>
      <c r="G59" s="587"/>
      <c r="H59" s="588"/>
      <c r="I59" s="585"/>
      <c r="J59" s="586"/>
      <c r="K59" s="587"/>
      <c r="L59" s="588"/>
      <c r="M59" s="585"/>
      <c r="N59" s="586"/>
    </row>
    <row r="60" spans="2:14" ht="12.75">
      <c r="B60" s="603"/>
      <c r="C60" s="603"/>
      <c r="D60" s="603"/>
      <c r="E60" s="603"/>
      <c r="F60" s="603"/>
      <c r="G60" s="587"/>
      <c r="H60" s="588"/>
      <c r="I60" s="585"/>
      <c r="J60" s="586"/>
      <c r="K60" s="587"/>
      <c r="L60" s="588"/>
      <c r="M60" s="585"/>
      <c r="N60" s="586"/>
    </row>
    <row r="61" spans="2:20" ht="12.75">
      <c r="B61" s="603"/>
      <c r="C61" s="603"/>
      <c r="D61" s="603"/>
      <c r="E61" s="603"/>
      <c r="F61" s="603"/>
      <c r="G61" s="587"/>
      <c r="H61" s="588"/>
      <c r="I61" s="585"/>
      <c r="J61" s="586"/>
      <c r="K61" s="587"/>
      <c r="L61" s="588"/>
      <c r="M61" s="585"/>
      <c r="N61" s="586"/>
      <c r="P61" s="582">
        <f>IF(AND(S62="",S64=""),"","Разлика между СПРАВКАТА и ПРИЛОЖЕНИЕ №1!")</f>
      </c>
      <c r="Q61" s="582"/>
      <c r="R61" s="582"/>
      <c r="S61" s="582"/>
      <c r="T61" s="582"/>
    </row>
    <row r="62" spans="2:20" ht="12.75">
      <c r="B62" s="603"/>
      <c r="C62" s="603"/>
      <c r="D62" s="603"/>
      <c r="E62" s="603"/>
      <c r="F62" s="603"/>
      <c r="G62" s="587"/>
      <c r="H62" s="588"/>
      <c r="I62" s="585"/>
      <c r="J62" s="586"/>
      <c r="K62" s="587"/>
      <c r="L62" s="588"/>
      <c r="M62" s="585"/>
      <c r="N62" s="586"/>
      <c r="P62" s="583">
        <f>IF(S62="","","Разлика текущ период:")</f>
      </c>
      <c r="Q62" s="583"/>
      <c r="R62" s="583"/>
      <c r="S62" s="427">
        <f>IF(I65=K5,"",I65-K5)</f>
      </c>
      <c r="T62" s="426"/>
    </row>
    <row r="63" spans="2:20" ht="12.75">
      <c r="B63" s="603"/>
      <c r="C63" s="603"/>
      <c r="D63" s="603"/>
      <c r="E63" s="603"/>
      <c r="F63" s="603"/>
      <c r="G63" s="587"/>
      <c r="H63" s="588"/>
      <c r="I63" s="585"/>
      <c r="J63" s="586"/>
      <c r="K63" s="587"/>
      <c r="L63" s="588"/>
      <c r="M63" s="585"/>
      <c r="N63" s="586"/>
      <c r="P63" s="584">
        <f>IF(S62="","","Сума по приложение №1:")</f>
      </c>
      <c r="Q63" s="584"/>
      <c r="R63" s="584"/>
      <c r="S63" s="428">
        <f>IF(I65=K5,"",K5)</f>
      </c>
      <c r="T63" s="426"/>
    </row>
    <row r="64" spans="2:20" ht="12.75">
      <c r="B64" s="603"/>
      <c r="C64" s="603"/>
      <c r="D64" s="603"/>
      <c r="E64" s="603"/>
      <c r="F64" s="603"/>
      <c r="G64" s="587"/>
      <c r="H64" s="588"/>
      <c r="I64" s="585"/>
      <c r="J64" s="586"/>
      <c r="K64" s="587"/>
      <c r="L64" s="588"/>
      <c r="M64" s="585"/>
      <c r="N64" s="586"/>
      <c r="P64" s="583"/>
      <c r="Q64" s="583"/>
      <c r="R64" s="583"/>
      <c r="S64" s="427">
        <f>IF(M65=M5,"",M65-M5)</f>
      </c>
      <c r="T64" s="426"/>
    </row>
    <row r="65" spans="2:20" ht="12.75">
      <c r="B65" s="594" t="s">
        <v>85</v>
      </c>
      <c r="C65" s="595"/>
      <c r="D65" s="595"/>
      <c r="E65" s="595"/>
      <c r="F65" s="596"/>
      <c r="G65" s="589"/>
      <c r="H65" s="590"/>
      <c r="I65" s="591">
        <f>SUM(I55:J64)</f>
        <v>0</v>
      </c>
      <c r="J65" s="592"/>
      <c r="K65" s="589"/>
      <c r="L65" s="590"/>
      <c r="M65" s="591">
        <f>SUM(M55:N64)</f>
        <v>0</v>
      </c>
      <c r="N65" s="592"/>
      <c r="P65" s="584">
        <f>IF(S64="","","Сума по приложение №1:")</f>
      </c>
      <c r="Q65" s="584"/>
      <c r="R65" s="584"/>
      <c r="S65" s="428">
        <f>IF(M65=M5,"",M5)</f>
      </c>
      <c r="T65" s="426"/>
    </row>
    <row r="66" spans="2:14" ht="15">
      <c r="B66" s="593" t="s">
        <v>494</v>
      </c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</row>
    <row r="67" spans="2:14" ht="12.75">
      <c r="B67" s="611" t="s">
        <v>227</v>
      </c>
      <c r="C67" s="611"/>
      <c r="D67" s="611" t="s">
        <v>228</v>
      </c>
      <c r="E67" s="611"/>
      <c r="F67" s="611"/>
      <c r="G67" s="601" t="str">
        <f>G25</f>
        <v>31.12.2016г.</v>
      </c>
      <c r="H67" s="602"/>
      <c r="I67" s="602"/>
      <c r="J67" s="600"/>
      <c r="K67" s="601" t="str">
        <f>K39</f>
        <v>31.12.2015 г.</v>
      </c>
      <c r="L67" s="602"/>
      <c r="M67" s="602"/>
      <c r="N67" s="600"/>
    </row>
    <row r="68" spans="2:14" ht="12.75">
      <c r="B68" s="611"/>
      <c r="C68" s="611"/>
      <c r="D68" s="611"/>
      <c r="E68" s="611"/>
      <c r="F68" s="611"/>
      <c r="G68" s="599" t="s">
        <v>223</v>
      </c>
      <c r="H68" s="600"/>
      <c r="I68" s="599" t="s">
        <v>224</v>
      </c>
      <c r="J68" s="600"/>
      <c r="K68" s="599" t="s">
        <v>223</v>
      </c>
      <c r="L68" s="600"/>
      <c r="M68" s="599" t="s">
        <v>224</v>
      </c>
      <c r="N68" s="600"/>
    </row>
    <row r="69" spans="2:14" ht="12.75">
      <c r="B69" s="603"/>
      <c r="C69" s="603"/>
      <c r="D69" s="603"/>
      <c r="E69" s="603"/>
      <c r="F69" s="603"/>
      <c r="G69" s="587"/>
      <c r="H69" s="588"/>
      <c r="I69" s="585"/>
      <c r="J69" s="586"/>
      <c r="K69" s="587"/>
      <c r="L69" s="588"/>
      <c r="M69" s="585"/>
      <c r="N69" s="586"/>
    </row>
    <row r="70" spans="2:14" ht="12.75">
      <c r="B70" s="603"/>
      <c r="C70" s="603"/>
      <c r="D70" s="603"/>
      <c r="E70" s="603"/>
      <c r="F70" s="603"/>
      <c r="G70" s="587"/>
      <c r="H70" s="588"/>
      <c r="I70" s="585"/>
      <c r="J70" s="586"/>
      <c r="K70" s="587"/>
      <c r="L70" s="588"/>
      <c r="M70" s="585"/>
      <c r="N70" s="586"/>
    </row>
    <row r="71" spans="2:14" ht="12.75">
      <c r="B71" s="603"/>
      <c r="C71" s="603"/>
      <c r="D71" s="603"/>
      <c r="E71" s="603"/>
      <c r="F71" s="603"/>
      <c r="G71" s="587"/>
      <c r="H71" s="588"/>
      <c r="I71" s="585"/>
      <c r="J71" s="586"/>
      <c r="K71" s="587"/>
      <c r="L71" s="588"/>
      <c r="M71" s="585"/>
      <c r="N71" s="586"/>
    </row>
    <row r="72" spans="2:14" ht="12.75">
      <c r="B72" s="603"/>
      <c r="C72" s="603"/>
      <c r="D72" s="603"/>
      <c r="E72" s="603"/>
      <c r="F72" s="603"/>
      <c r="G72" s="587"/>
      <c r="H72" s="588"/>
      <c r="I72" s="585"/>
      <c r="J72" s="586"/>
      <c r="K72" s="587" t="s">
        <v>30</v>
      </c>
      <c r="L72" s="588"/>
      <c r="M72" s="585"/>
      <c r="N72" s="586"/>
    </row>
    <row r="73" spans="2:14" ht="12.75">
      <c r="B73" s="603"/>
      <c r="C73" s="603"/>
      <c r="D73" s="603"/>
      <c r="E73" s="603"/>
      <c r="F73" s="603"/>
      <c r="G73" s="587"/>
      <c r="H73" s="588"/>
      <c r="I73" s="585"/>
      <c r="J73" s="586"/>
      <c r="K73" s="587"/>
      <c r="L73" s="588"/>
      <c r="M73" s="585"/>
      <c r="N73" s="586"/>
    </row>
    <row r="74" spans="2:14" ht="12.75">
      <c r="B74" s="603"/>
      <c r="C74" s="603"/>
      <c r="D74" s="603"/>
      <c r="E74" s="603"/>
      <c r="F74" s="603"/>
      <c r="G74" s="587"/>
      <c r="H74" s="588"/>
      <c r="I74" s="585"/>
      <c r="J74" s="586"/>
      <c r="K74" s="587"/>
      <c r="L74" s="588"/>
      <c r="M74" s="585"/>
      <c r="N74" s="586"/>
    </row>
    <row r="75" spans="2:20" ht="12.75">
      <c r="B75" s="603"/>
      <c r="C75" s="603"/>
      <c r="D75" s="603"/>
      <c r="E75" s="603"/>
      <c r="F75" s="603"/>
      <c r="G75" s="587"/>
      <c r="H75" s="588"/>
      <c r="I75" s="585"/>
      <c r="J75" s="586"/>
      <c r="K75" s="587"/>
      <c r="L75" s="588"/>
      <c r="M75" s="585"/>
      <c r="N75" s="586"/>
      <c r="P75" s="582">
        <f>IF(AND(S76="",S78=""),"","Разлика между СПРАВКАТА и ПРИЛОЖЕНИЕ №1!")</f>
      </c>
      <c r="Q75" s="582"/>
      <c r="R75" s="582"/>
      <c r="S75" s="582"/>
      <c r="T75" s="582"/>
    </row>
    <row r="76" spans="2:20" ht="12.75">
      <c r="B76" s="603"/>
      <c r="C76" s="603"/>
      <c r="D76" s="603"/>
      <c r="E76" s="603"/>
      <c r="F76" s="603"/>
      <c r="G76" s="587"/>
      <c r="H76" s="588"/>
      <c r="I76" s="585"/>
      <c r="J76" s="586"/>
      <c r="K76" s="587"/>
      <c r="L76" s="588"/>
      <c r="M76" s="585"/>
      <c r="N76" s="586"/>
      <c r="P76" s="583">
        <f>IF(S76="","","Разлика текущ период:")</f>
      </c>
      <c r="Q76" s="583"/>
      <c r="R76" s="583"/>
      <c r="S76" s="427">
        <f>IF(I79=K6,"",I79-K6)</f>
      </c>
      <c r="T76" s="426"/>
    </row>
    <row r="77" spans="2:20" ht="12.75">
      <c r="B77" s="603"/>
      <c r="C77" s="603"/>
      <c r="D77" s="603"/>
      <c r="E77" s="603"/>
      <c r="F77" s="603"/>
      <c r="G77" s="587"/>
      <c r="H77" s="588"/>
      <c r="I77" s="585"/>
      <c r="J77" s="586"/>
      <c r="K77" s="587"/>
      <c r="L77" s="588"/>
      <c r="M77" s="585"/>
      <c r="N77" s="586"/>
      <c r="P77" s="584">
        <f>IF(S76="","","Сума по приложение №1:")</f>
      </c>
      <c r="Q77" s="584"/>
      <c r="R77" s="584"/>
      <c r="S77" s="428">
        <f>IF(I79=K6,"",K6)</f>
      </c>
      <c r="T77" s="426"/>
    </row>
    <row r="78" spans="2:20" ht="12.75">
      <c r="B78" s="603"/>
      <c r="C78" s="603"/>
      <c r="D78" s="603"/>
      <c r="E78" s="603"/>
      <c r="F78" s="603"/>
      <c r="G78" s="587"/>
      <c r="H78" s="588"/>
      <c r="I78" s="585"/>
      <c r="J78" s="586"/>
      <c r="K78" s="587"/>
      <c r="L78" s="588"/>
      <c r="M78" s="585"/>
      <c r="N78" s="586"/>
      <c r="P78" s="583"/>
      <c r="Q78" s="583"/>
      <c r="R78" s="583"/>
      <c r="S78" s="427">
        <f>IF(M79=M6,"",M79-M6)</f>
      </c>
      <c r="T78" s="426"/>
    </row>
    <row r="79" spans="2:20" ht="12.75">
      <c r="B79" s="594" t="s">
        <v>85</v>
      </c>
      <c r="C79" s="595"/>
      <c r="D79" s="595"/>
      <c r="E79" s="595"/>
      <c r="F79" s="596"/>
      <c r="G79" s="589"/>
      <c r="H79" s="590"/>
      <c r="I79" s="591">
        <f>SUM(I69:J78)</f>
        <v>0</v>
      </c>
      <c r="J79" s="592"/>
      <c r="K79" s="589"/>
      <c r="L79" s="590"/>
      <c r="M79" s="591">
        <f>SUM(M69:N78)</f>
        <v>0</v>
      </c>
      <c r="N79" s="592"/>
      <c r="P79" s="584">
        <f>IF(S78="","","Сума по приложение №1:")</f>
      </c>
      <c r="Q79" s="584"/>
      <c r="R79" s="584"/>
      <c r="S79" s="428">
        <f>IF(M79=M6,"",M6)</f>
      </c>
      <c r="T79" s="426"/>
    </row>
    <row r="80" spans="2:14" ht="15">
      <c r="B80" s="593" t="s">
        <v>507</v>
      </c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</row>
    <row r="81" spans="2:14" ht="12.75">
      <c r="B81" s="629" t="s">
        <v>227</v>
      </c>
      <c r="C81" s="629"/>
      <c r="D81" s="629"/>
      <c r="E81" s="629"/>
      <c r="F81" s="629"/>
      <c r="G81" s="629"/>
      <c r="H81" s="629"/>
      <c r="I81" s="629"/>
      <c r="J81" s="629"/>
      <c r="K81" s="630" t="str">
        <f>K2</f>
        <v>31.12.2016г.</v>
      </c>
      <c r="L81" s="629"/>
      <c r="M81" s="630" t="s">
        <v>686</v>
      </c>
      <c r="N81" s="629"/>
    </row>
    <row r="82" spans="2:14" ht="12.75">
      <c r="B82" s="597" t="s">
        <v>499</v>
      </c>
      <c r="C82" s="597"/>
      <c r="D82" s="597"/>
      <c r="E82" s="597"/>
      <c r="F82" s="597"/>
      <c r="G82" s="597"/>
      <c r="H82" s="597"/>
      <c r="I82" s="597"/>
      <c r="J82" s="597"/>
      <c r="K82" s="598">
        <f>SUM(K83:L84)</f>
        <v>0</v>
      </c>
      <c r="L82" s="598"/>
      <c r="M82" s="598">
        <f>SUM(M83:N84)</f>
        <v>0</v>
      </c>
      <c r="N82" s="598"/>
    </row>
    <row r="83" spans="2:14" ht="12.75">
      <c r="B83" s="635" t="s">
        <v>497</v>
      </c>
      <c r="C83" s="635"/>
      <c r="D83" s="635"/>
      <c r="E83" s="635"/>
      <c r="F83" s="635"/>
      <c r="G83" s="635"/>
      <c r="H83" s="635"/>
      <c r="I83" s="635"/>
      <c r="J83" s="635"/>
      <c r="K83" s="626"/>
      <c r="L83" s="626"/>
      <c r="M83" s="626"/>
      <c r="N83" s="626"/>
    </row>
    <row r="84" spans="2:20" ht="12.75">
      <c r="B84" s="635" t="s">
        <v>500</v>
      </c>
      <c r="C84" s="635"/>
      <c r="D84" s="635"/>
      <c r="E84" s="635"/>
      <c r="F84" s="635"/>
      <c r="G84" s="635"/>
      <c r="H84" s="635"/>
      <c r="I84" s="635"/>
      <c r="J84" s="635"/>
      <c r="K84" s="626"/>
      <c r="L84" s="626"/>
      <c r="M84" s="626"/>
      <c r="N84" s="626"/>
      <c r="P84" s="582">
        <f>IF(AND(S85="",S87=""),"","Разлика между СПРАВКАТА и ПРИЛОЖЕНИЕ №1!")</f>
      </c>
      <c r="Q84" s="582"/>
      <c r="R84" s="582"/>
      <c r="S84" s="582"/>
      <c r="T84" s="582"/>
    </row>
    <row r="85" spans="2:20" ht="12.75">
      <c r="B85" s="632" t="s">
        <v>501</v>
      </c>
      <c r="C85" s="633"/>
      <c r="D85" s="633"/>
      <c r="E85" s="633"/>
      <c r="F85" s="633"/>
      <c r="G85" s="633"/>
      <c r="H85" s="633"/>
      <c r="I85" s="633"/>
      <c r="J85" s="634"/>
      <c r="K85" s="598">
        <f>SUM(K86:L87)</f>
        <v>0</v>
      </c>
      <c r="L85" s="598"/>
      <c r="M85" s="598">
        <f>SUM(M86:N87)</f>
        <v>0</v>
      </c>
      <c r="N85" s="598"/>
      <c r="P85" s="583">
        <f>IF(S85="","","Разлика текущ период:")</f>
      </c>
      <c r="Q85" s="583"/>
      <c r="R85" s="583"/>
      <c r="S85" s="427">
        <f>IF(K88=K7,"",K88-K7)</f>
      </c>
      <c r="T85" s="426"/>
    </row>
    <row r="86" spans="2:20" ht="12.75">
      <c r="B86" s="608" t="s">
        <v>502</v>
      </c>
      <c r="C86" s="609"/>
      <c r="D86" s="609"/>
      <c r="E86" s="609"/>
      <c r="F86" s="609"/>
      <c r="G86" s="609"/>
      <c r="H86" s="609"/>
      <c r="I86" s="609"/>
      <c r="J86" s="610"/>
      <c r="K86" s="626"/>
      <c r="L86" s="626"/>
      <c r="M86" s="626"/>
      <c r="N86" s="626"/>
      <c r="P86" s="584">
        <f>IF(S85="","","Сума по приложение №1:")</f>
      </c>
      <c r="Q86" s="584"/>
      <c r="R86" s="584"/>
      <c r="S86" s="428">
        <f>IF(K88=K7,"",K7)</f>
      </c>
      <c r="T86" s="426"/>
    </row>
    <row r="87" spans="2:20" ht="12.75">
      <c r="B87" s="608" t="s">
        <v>498</v>
      </c>
      <c r="C87" s="609"/>
      <c r="D87" s="609"/>
      <c r="E87" s="609"/>
      <c r="F87" s="609"/>
      <c r="G87" s="609"/>
      <c r="H87" s="609"/>
      <c r="I87" s="609"/>
      <c r="J87" s="610"/>
      <c r="K87" s="626"/>
      <c r="L87" s="626"/>
      <c r="M87" s="626"/>
      <c r="N87" s="626"/>
      <c r="P87" s="583"/>
      <c r="Q87" s="583"/>
      <c r="R87" s="583"/>
      <c r="S87" s="427">
        <f>IF(M88=M7,"",M88-M7)</f>
      </c>
      <c r="T87" s="426"/>
    </row>
    <row r="88" spans="2:20" ht="12.75">
      <c r="B88" s="623" t="s">
        <v>85</v>
      </c>
      <c r="C88" s="623"/>
      <c r="D88" s="623"/>
      <c r="E88" s="623"/>
      <c r="F88" s="623"/>
      <c r="G88" s="623"/>
      <c r="H88" s="623"/>
      <c r="I88" s="623"/>
      <c r="J88" s="623"/>
      <c r="K88" s="631">
        <f>K82+K85</f>
        <v>0</v>
      </c>
      <c r="L88" s="631"/>
      <c r="M88" s="631">
        <f>M82+M85</f>
        <v>0</v>
      </c>
      <c r="N88" s="631"/>
      <c r="P88" s="584">
        <f>IF(S87="","","Сума по приложение №1:")</f>
      </c>
      <c r="Q88" s="584"/>
      <c r="R88" s="584"/>
      <c r="S88" s="428">
        <f>IF(M88=M7,"",M7)</f>
      </c>
      <c r="T88" s="426"/>
    </row>
    <row r="89" spans="2:14" ht="15">
      <c r="B89" s="593" t="s">
        <v>506</v>
      </c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</row>
    <row r="90" spans="2:14" ht="12.75">
      <c r="B90" s="629" t="s">
        <v>227</v>
      </c>
      <c r="C90" s="629"/>
      <c r="D90" s="629"/>
      <c r="E90" s="629"/>
      <c r="F90" s="629"/>
      <c r="G90" s="629"/>
      <c r="H90" s="629"/>
      <c r="I90" s="629"/>
      <c r="J90" s="629"/>
      <c r="K90" s="630" t="str">
        <f>K2</f>
        <v>31.12.2016г.</v>
      </c>
      <c r="L90" s="629"/>
      <c r="M90" s="630" t="str">
        <f>M2</f>
        <v>31.12.2015 г.</v>
      </c>
      <c r="N90" s="629"/>
    </row>
    <row r="91" spans="2:14" ht="12.75">
      <c r="B91" s="597" t="s">
        <v>503</v>
      </c>
      <c r="C91" s="597"/>
      <c r="D91" s="597"/>
      <c r="E91" s="597"/>
      <c r="F91" s="597"/>
      <c r="G91" s="597"/>
      <c r="H91" s="597"/>
      <c r="I91" s="597"/>
      <c r="J91" s="597"/>
      <c r="K91" s="598">
        <f>SUM(K92:L93)</f>
        <v>0</v>
      </c>
      <c r="L91" s="598"/>
      <c r="M91" s="598">
        <f>SUM(M92:N93)</f>
        <v>0</v>
      </c>
      <c r="N91" s="598"/>
    </row>
    <row r="92" spans="2:14" ht="12.75">
      <c r="B92" s="635" t="s">
        <v>505</v>
      </c>
      <c r="C92" s="635"/>
      <c r="D92" s="635"/>
      <c r="E92" s="635"/>
      <c r="F92" s="635"/>
      <c r="G92" s="635"/>
      <c r="H92" s="635"/>
      <c r="I92" s="635"/>
      <c r="J92" s="635"/>
      <c r="K92" s="626"/>
      <c r="L92" s="626"/>
      <c r="M92" s="626"/>
      <c r="N92" s="626"/>
    </row>
    <row r="93" spans="2:20" ht="12.75">
      <c r="B93" s="635" t="s">
        <v>504</v>
      </c>
      <c r="C93" s="635"/>
      <c r="D93" s="635"/>
      <c r="E93" s="635"/>
      <c r="F93" s="635"/>
      <c r="G93" s="635"/>
      <c r="H93" s="635"/>
      <c r="I93" s="635"/>
      <c r="J93" s="635"/>
      <c r="K93" s="626"/>
      <c r="L93" s="626"/>
      <c r="M93" s="626"/>
      <c r="N93" s="626"/>
      <c r="P93" s="582">
        <f>IF(AND(S94="",S96=""),"","Разлика между СПРАВКАТА и ПРИЛОЖЕНИЕ №1!")</f>
      </c>
      <c r="Q93" s="582"/>
      <c r="R93" s="582"/>
      <c r="S93" s="582"/>
      <c r="T93" s="582"/>
    </row>
    <row r="94" spans="2:20" ht="12.75">
      <c r="B94" s="632" t="s">
        <v>261</v>
      </c>
      <c r="C94" s="633"/>
      <c r="D94" s="633"/>
      <c r="E94" s="633"/>
      <c r="F94" s="633"/>
      <c r="G94" s="633"/>
      <c r="H94" s="633"/>
      <c r="I94" s="633"/>
      <c r="J94" s="634"/>
      <c r="K94" s="598">
        <f>SUM(K95:L96)</f>
        <v>0</v>
      </c>
      <c r="L94" s="598"/>
      <c r="M94" s="598">
        <f>SUM(M95:N96)</f>
        <v>0</v>
      </c>
      <c r="N94" s="598"/>
      <c r="P94" s="583">
        <f>IF(S94="","","Разлика текущ период:")</f>
      </c>
      <c r="Q94" s="583"/>
      <c r="R94" s="583"/>
      <c r="S94" s="427">
        <f>IF(K97=K8,"",K97-K8)</f>
      </c>
      <c r="T94" s="426"/>
    </row>
    <row r="95" spans="2:20" ht="12.75">
      <c r="B95" s="608" t="s">
        <v>247</v>
      </c>
      <c r="C95" s="609"/>
      <c r="D95" s="609"/>
      <c r="E95" s="609"/>
      <c r="F95" s="609"/>
      <c r="G95" s="609"/>
      <c r="H95" s="609"/>
      <c r="I95" s="609"/>
      <c r="J95" s="610"/>
      <c r="K95" s="626"/>
      <c r="L95" s="626"/>
      <c r="M95" s="626"/>
      <c r="N95" s="626"/>
      <c r="P95" s="584">
        <f>IF(S94="","","Сума по приложение №1:")</f>
      </c>
      <c r="Q95" s="584"/>
      <c r="R95" s="584"/>
      <c r="S95" s="428">
        <f>IF(K97=K8,"",K8)</f>
      </c>
      <c r="T95" s="426"/>
    </row>
    <row r="96" spans="2:20" ht="12.75">
      <c r="B96" s="608" t="s">
        <v>274</v>
      </c>
      <c r="C96" s="609"/>
      <c r="D96" s="609"/>
      <c r="E96" s="609"/>
      <c r="F96" s="609"/>
      <c r="G96" s="609"/>
      <c r="H96" s="609"/>
      <c r="I96" s="609"/>
      <c r="J96" s="610"/>
      <c r="K96" s="626"/>
      <c r="L96" s="626"/>
      <c r="M96" s="626"/>
      <c r="N96" s="626"/>
      <c r="P96" s="583"/>
      <c r="Q96" s="583"/>
      <c r="R96" s="583"/>
      <c r="S96" s="427">
        <f>IF(M97=M8,"",M97-M8)</f>
      </c>
      <c r="T96" s="426"/>
    </row>
    <row r="97" spans="2:20" ht="12.75">
      <c r="B97" s="623" t="s">
        <v>85</v>
      </c>
      <c r="C97" s="623"/>
      <c r="D97" s="623"/>
      <c r="E97" s="623"/>
      <c r="F97" s="623"/>
      <c r="G97" s="623"/>
      <c r="H97" s="623"/>
      <c r="I97" s="623"/>
      <c r="J97" s="623"/>
      <c r="K97" s="631">
        <f>K91+K94</f>
        <v>0</v>
      </c>
      <c r="L97" s="631"/>
      <c r="M97" s="631">
        <f>M91+M94</f>
        <v>0</v>
      </c>
      <c r="N97" s="631"/>
      <c r="P97" s="584">
        <f>IF(S96="","","Сума по приложение №1:")</f>
      </c>
      <c r="Q97" s="584"/>
      <c r="R97" s="584"/>
      <c r="S97" s="428">
        <f>IF(M97=M8,"",M8)</f>
      </c>
      <c r="T97" s="426"/>
    </row>
    <row r="98" spans="2:14" ht="13.5" thickBot="1"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</row>
    <row r="100" spans="2:14" ht="15">
      <c r="B100" s="624" t="s">
        <v>565</v>
      </c>
      <c r="C100" s="624"/>
      <c r="D100" s="624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</row>
    <row r="101" spans="2:14" ht="12.75">
      <c r="B101" s="604" t="s">
        <v>508</v>
      </c>
      <c r="C101" s="617"/>
      <c r="D101" s="617"/>
      <c r="E101" s="617"/>
      <c r="F101" s="617"/>
      <c r="G101" s="617"/>
      <c r="H101" s="617"/>
      <c r="I101" s="617"/>
      <c r="J101" s="605"/>
      <c r="K101" s="619" t="str">
        <f>K2</f>
        <v>31.12.2016г.</v>
      </c>
      <c r="L101" s="620"/>
      <c r="M101" s="619" t="str">
        <f>M2</f>
        <v>31.12.2015 г.</v>
      </c>
      <c r="N101" s="620"/>
    </row>
    <row r="102" spans="2:14" ht="12.75">
      <c r="B102" s="606"/>
      <c r="C102" s="618"/>
      <c r="D102" s="618"/>
      <c r="E102" s="618"/>
      <c r="F102" s="618"/>
      <c r="G102" s="618"/>
      <c r="H102" s="618"/>
      <c r="I102" s="618"/>
      <c r="J102" s="607"/>
      <c r="K102" s="621"/>
      <c r="L102" s="622"/>
      <c r="M102" s="621"/>
      <c r="N102" s="622"/>
    </row>
    <row r="103" spans="2:20" ht="12.75">
      <c r="B103" s="608" t="s">
        <v>493</v>
      </c>
      <c r="C103" s="609"/>
      <c r="D103" s="609"/>
      <c r="E103" s="609"/>
      <c r="F103" s="609"/>
      <c r="G103" s="609"/>
      <c r="H103" s="609"/>
      <c r="I103" s="609"/>
      <c r="J103" s="610"/>
      <c r="K103" s="626"/>
      <c r="L103" s="626"/>
      <c r="M103" s="626"/>
      <c r="N103" s="626"/>
      <c r="P103" s="582" t="e">
        <f>IF(AND(S104="",S106=""),"","Разлика между БАЛАНСА и ПРИЛОЖЕНИЕТО!")</f>
        <v>#REF!</v>
      </c>
      <c r="Q103" s="582"/>
      <c r="R103" s="582"/>
      <c r="S103" s="582"/>
      <c r="T103" s="582"/>
    </row>
    <row r="104" spans="2:20" ht="12.75">
      <c r="B104" s="608" t="s">
        <v>511</v>
      </c>
      <c r="C104" s="609"/>
      <c r="D104" s="609"/>
      <c r="E104" s="609"/>
      <c r="F104" s="609"/>
      <c r="G104" s="609"/>
      <c r="H104" s="609"/>
      <c r="I104" s="609"/>
      <c r="J104" s="610"/>
      <c r="K104" s="626"/>
      <c r="L104" s="626"/>
      <c r="M104" s="626"/>
      <c r="N104" s="626"/>
      <c r="P104" s="583" t="e">
        <f>IF(S104="","","Разлика текущ период:")</f>
        <v>#REF!</v>
      </c>
      <c r="Q104" s="583"/>
      <c r="R104" s="583"/>
      <c r="S104" s="427" t="e">
        <f>IF(K107=баланс!#REF!,"",K107-баланс!#REF!)</f>
        <v>#REF!</v>
      </c>
      <c r="T104" s="426"/>
    </row>
    <row r="105" spans="2:20" ht="12.75">
      <c r="B105" s="608" t="s">
        <v>502</v>
      </c>
      <c r="C105" s="609"/>
      <c r="D105" s="609"/>
      <c r="E105" s="609"/>
      <c r="F105" s="609"/>
      <c r="G105" s="609"/>
      <c r="H105" s="609"/>
      <c r="I105" s="609"/>
      <c r="J105" s="610"/>
      <c r="K105" s="626"/>
      <c r="L105" s="626"/>
      <c r="M105" s="626"/>
      <c r="N105" s="626"/>
      <c r="P105" s="584" t="e">
        <f>IF(S104="","","Сума по баланс:")</f>
        <v>#REF!</v>
      </c>
      <c r="Q105" s="584"/>
      <c r="R105" s="584"/>
      <c r="S105" s="428" t="e">
        <f>IF(S104="","",баланс!#REF!)</f>
        <v>#REF!</v>
      </c>
      <c r="T105" s="426"/>
    </row>
    <row r="106" spans="2:20" ht="12.75">
      <c r="B106" s="608" t="s">
        <v>247</v>
      </c>
      <c r="C106" s="609"/>
      <c r="D106" s="609"/>
      <c r="E106" s="609"/>
      <c r="F106" s="609"/>
      <c r="G106" s="609"/>
      <c r="H106" s="609"/>
      <c r="I106" s="609"/>
      <c r="J106" s="610"/>
      <c r="K106" s="626"/>
      <c r="L106" s="626"/>
      <c r="M106" s="626"/>
      <c r="N106" s="626"/>
      <c r="P106" s="583"/>
      <c r="Q106" s="583"/>
      <c r="R106" s="583"/>
      <c r="S106" s="427" t="e">
        <f>IF(M107=баланс!#REF!,"",M107-баланс!#REF!)</f>
        <v>#REF!</v>
      </c>
      <c r="T106" s="426"/>
    </row>
    <row r="107" spans="2:20" ht="12.75">
      <c r="B107" s="594" t="s">
        <v>85</v>
      </c>
      <c r="C107" s="595"/>
      <c r="D107" s="595"/>
      <c r="E107" s="595"/>
      <c r="F107" s="595"/>
      <c r="G107" s="595"/>
      <c r="H107" s="595"/>
      <c r="I107" s="595"/>
      <c r="J107" s="596"/>
      <c r="K107" s="614">
        <f>SUM(K103:L106)</f>
        <v>0</v>
      </c>
      <c r="L107" s="615"/>
      <c r="M107" s="614">
        <f>SUM(M103:N106)</f>
        <v>0</v>
      </c>
      <c r="N107" s="615"/>
      <c r="P107" s="584" t="e">
        <f>IF(S106="","","Сума по баланс:")</f>
        <v>#REF!</v>
      </c>
      <c r="Q107" s="584"/>
      <c r="R107" s="584"/>
      <c r="S107" s="428" t="e">
        <f>IF(S106="","",баланс!#REF!)</f>
        <v>#REF!</v>
      </c>
      <c r="T107" s="426"/>
    </row>
    <row r="108" spans="2:14" ht="15">
      <c r="B108" s="593" t="s">
        <v>493</v>
      </c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</row>
    <row r="109" spans="2:14" ht="12.75">
      <c r="B109" s="611" t="s">
        <v>227</v>
      </c>
      <c r="C109" s="611"/>
      <c r="D109" s="611" t="s">
        <v>228</v>
      </c>
      <c r="E109" s="611"/>
      <c r="F109" s="611"/>
      <c r="G109" s="601" t="str">
        <f>K101</f>
        <v>31.12.2016г.</v>
      </c>
      <c r="H109" s="602"/>
      <c r="I109" s="602"/>
      <c r="J109" s="600"/>
      <c r="K109" s="601" t="str">
        <f>M101</f>
        <v>31.12.2015 г.</v>
      </c>
      <c r="L109" s="602"/>
      <c r="M109" s="602"/>
      <c r="N109" s="600"/>
    </row>
    <row r="110" spans="2:14" ht="12.75">
      <c r="B110" s="611"/>
      <c r="C110" s="611"/>
      <c r="D110" s="611"/>
      <c r="E110" s="611"/>
      <c r="F110" s="611"/>
      <c r="G110" s="599" t="s">
        <v>223</v>
      </c>
      <c r="H110" s="600"/>
      <c r="I110" s="599" t="s">
        <v>224</v>
      </c>
      <c r="J110" s="600"/>
      <c r="K110" s="599" t="s">
        <v>223</v>
      </c>
      <c r="L110" s="600"/>
      <c r="M110" s="599" t="s">
        <v>224</v>
      </c>
      <c r="N110" s="600"/>
    </row>
    <row r="111" spans="2:14" ht="12.75">
      <c r="B111" s="603"/>
      <c r="C111" s="603"/>
      <c r="D111" s="603"/>
      <c r="E111" s="603"/>
      <c r="F111" s="603"/>
      <c r="G111" s="587"/>
      <c r="H111" s="588"/>
      <c r="I111" s="585"/>
      <c r="J111" s="586"/>
      <c r="K111" s="587"/>
      <c r="L111" s="588"/>
      <c r="M111" s="585"/>
      <c r="N111" s="586"/>
    </row>
    <row r="112" spans="2:14" ht="12.75">
      <c r="B112" s="603"/>
      <c r="C112" s="603"/>
      <c r="D112" s="603"/>
      <c r="E112" s="603"/>
      <c r="F112" s="603"/>
      <c r="G112" s="587"/>
      <c r="H112" s="588"/>
      <c r="I112" s="585"/>
      <c r="J112" s="586"/>
      <c r="K112" s="587"/>
      <c r="L112" s="588"/>
      <c r="M112" s="585"/>
      <c r="N112" s="586"/>
    </row>
    <row r="113" spans="2:14" ht="12.75">
      <c r="B113" s="603"/>
      <c r="C113" s="603"/>
      <c r="D113" s="603"/>
      <c r="E113" s="603"/>
      <c r="F113" s="603"/>
      <c r="G113" s="587"/>
      <c r="H113" s="588"/>
      <c r="I113" s="585"/>
      <c r="J113" s="586"/>
      <c r="K113" s="587"/>
      <c r="L113" s="588"/>
      <c r="M113" s="585"/>
      <c r="N113" s="586"/>
    </row>
    <row r="114" spans="2:14" ht="12.75">
      <c r="B114" s="603"/>
      <c r="C114" s="603"/>
      <c r="D114" s="603"/>
      <c r="E114" s="603"/>
      <c r="F114" s="603"/>
      <c r="G114" s="587"/>
      <c r="H114" s="588"/>
      <c r="I114" s="585"/>
      <c r="J114" s="586"/>
      <c r="K114" s="587"/>
      <c r="L114" s="588"/>
      <c r="M114" s="585"/>
      <c r="N114" s="586"/>
    </row>
    <row r="115" spans="2:14" ht="12.75">
      <c r="B115" s="603"/>
      <c r="C115" s="603"/>
      <c r="D115" s="603"/>
      <c r="E115" s="603"/>
      <c r="F115" s="603"/>
      <c r="G115" s="587"/>
      <c r="H115" s="588"/>
      <c r="I115" s="585"/>
      <c r="J115" s="586"/>
      <c r="K115" s="587"/>
      <c r="L115" s="588"/>
      <c r="M115" s="585"/>
      <c r="N115" s="586"/>
    </row>
    <row r="116" spans="2:14" ht="12.75">
      <c r="B116" s="603"/>
      <c r="C116" s="603"/>
      <c r="D116" s="603"/>
      <c r="E116" s="603"/>
      <c r="F116" s="603"/>
      <c r="G116" s="587"/>
      <c r="H116" s="588"/>
      <c r="I116" s="585"/>
      <c r="J116" s="586"/>
      <c r="K116" s="587"/>
      <c r="L116" s="588"/>
      <c r="M116" s="585"/>
      <c r="N116" s="586"/>
    </row>
    <row r="117" spans="2:20" ht="12.75">
      <c r="B117" s="603"/>
      <c r="C117" s="603"/>
      <c r="D117" s="603"/>
      <c r="E117" s="603"/>
      <c r="F117" s="603"/>
      <c r="G117" s="587"/>
      <c r="H117" s="588"/>
      <c r="I117" s="585"/>
      <c r="J117" s="586"/>
      <c r="K117" s="587"/>
      <c r="L117" s="588"/>
      <c r="M117" s="585"/>
      <c r="N117" s="586"/>
      <c r="P117" s="582">
        <f>IF(AND(S118="",S120=""),"","Разлика между СПРАВКАТА и ПРИЛОЖЕНИЕ №2!")</f>
      </c>
      <c r="Q117" s="582"/>
      <c r="R117" s="582"/>
      <c r="S117" s="582"/>
      <c r="T117" s="582"/>
    </row>
    <row r="118" spans="2:20" ht="12.75">
      <c r="B118" s="603"/>
      <c r="C118" s="603"/>
      <c r="D118" s="603"/>
      <c r="E118" s="603"/>
      <c r="F118" s="603"/>
      <c r="G118" s="587"/>
      <c r="H118" s="588"/>
      <c r="I118" s="585"/>
      <c r="J118" s="586"/>
      <c r="K118" s="587"/>
      <c r="L118" s="588"/>
      <c r="M118" s="585"/>
      <c r="N118" s="586"/>
      <c r="P118" s="583">
        <f>IF(S118="","","Разлика текущ период:")</f>
      </c>
      <c r="Q118" s="583"/>
      <c r="R118" s="583"/>
      <c r="S118" s="427">
        <f>IF(I121=K103,"",I121-K103)</f>
      </c>
      <c r="T118" s="426"/>
    </row>
    <row r="119" spans="2:20" ht="12.75">
      <c r="B119" s="603"/>
      <c r="C119" s="603"/>
      <c r="D119" s="603"/>
      <c r="E119" s="603"/>
      <c r="F119" s="603"/>
      <c r="G119" s="587"/>
      <c r="H119" s="588"/>
      <c r="I119" s="585"/>
      <c r="J119" s="586"/>
      <c r="K119" s="587"/>
      <c r="L119" s="588"/>
      <c r="M119" s="585"/>
      <c r="N119" s="586"/>
      <c r="P119" s="584">
        <f>IF(S118="","","Сума по приложение №2:")</f>
      </c>
      <c r="Q119" s="584"/>
      <c r="R119" s="584"/>
      <c r="S119" s="428">
        <f>IF(I121=K103,"",K103)</f>
      </c>
      <c r="T119" s="426"/>
    </row>
    <row r="120" spans="2:20" ht="12.75">
      <c r="B120" s="603"/>
      <c r="C120" s="603"/>
      <c r="D120" s="603"/>
      <c r="E120" s="603"/>
      <c r="F120" s="603"/>
      <c r="G120" s="587"/>
      <c r="H120" s="588"/>
      <c r="I120" s="585"/>
      <c r="J120" s="586"/>
      <c r="K120" s="587"/>
      <c r="L120" s="588"/>
      <c r="M120" s="585"/>
      <c r="N120" s="586"/>
      <c r="P120" s="583"/>
      <c r="Q120" s="583"/>
      <c r="R120" s="583"/>
      <c r="S120" s="427">
        <f>IF(M121=M103,"",M121-M103)</f>
      </c>
      <c r="T120" s="426"/>
    </row>
    <row r="121" spans="2:20" ht="12.75">
      <c r="B121" s="594" t="s">
        <v>85</v>
      </c>
      <c r="C121" s="595"/>
      <c r="D121" s="595"/>
      <c r="E121" s="595"/>
      <c r="F121" s="596"/>
      <c r="G121" s="589"/>
      <c r="H121" s="590"/>
      <c r="I121" s="591">
        <f>SUM(I111:J120)</f>
        <v>0</v>
      </c>
      <c r="J121" s="592"/>
      <c r="K121" s="589"/>
      <c r="L121" s="590"/>
      <c r="M121" s="591">
        <f>SUM(M111:N120)</f>
        <v>0</v>
      </c>
      <c r="N121" s="592"/>
      <c r="P121" s="584">
        <f>IF(S120="","","Сума по приложение №2:")</f>
      </c>
      <c r="Q121" s="584"/>
      <c r="R121" s="584"/>
      <c r="S121" s="428">
        <f>IF(M121=M103,"",M103)</f>
      </c>
      <c r="T121" s="426"/>
    </row>
    <row r="122" spans="2:14" ht="15">
      <c r="B122" s="593" t="s">
        <v>511</v>
      </c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</row>
    <row r="123" spans="2:14" ht="12.75">
      <c r="B123" s="611" t="s">
        <v>227</v>
      </c>
      <c r="C123" s="611"/>
      <c r="D123" s="611" t="s">
        <v>228</v>
      </c>
      <c r="E123" s="611"/>
      <c r="F123" s="611"/>
      <c r="G123" s="601" t="str">
        <f>K101</f>
        <v>31.12.2016г.</v>
      </c>
      <c r="H123" s="602"/>
      <c r="I123" s="602"/>
      <c r="J123" s="600"/>
      <c r="K123" s="601" t="str">
        <f>M101</f>
        <v>31.12.2015 г.</v>
      </c>
      <c r="L123" s="602"/>
      <c r="M123" s="602"/>
      <c r="N123" s="600"/>
    </row>
    <row r="124" spans="2:14" ht="12.75">
      <c r="B124" s="611"/>
      <c r="C124" s="611"/>
      <c r="D124" s="611"/>
      <c r="E124" s="611"/>
      <c r="F124" s="611"/>
      <c r="G124" s="599" t="s">
        <v>223</v>
      </c>
      <c r="H124" s="600"/>
      <c r="I124" s="599" t="s">
        <v>224</v>
      </c>
      <c r="J124" s="600"/>
      <c r="K124" s="599" t="s">
        <v>223</v>
      </c>
      <c r="L124" s="600"/>
      <c r="M124" s="599" t="s">
        <v>224</v>
      </c>
      <c r="N124" s="600"/>
    </row>
    <row r="125" spans="2:14" ht="12.75">
      <c r="B125" s="603"/>
      <c r="C125" s="603"/>
      <c r="D125" s="603"/>
      <c r="E125" s="603"/>
      <c r="F125" s="603"/>
      <c r="G125" s="587"/>
      <c r="H125" s="588"/>
      <c r="I125" s="585"/>
      <c r="J125" s="586"/>
      <c r="K125" s="587"/>
      <c r="L125" s="588"/>
      <c r="M125" s="585"/>
      <c r="N125" s="586"/>
    </row>
    <row r="126" spans="2:14" ht="12.75">
      <c r="B126" s="603"/>
      <c r="C126" s="603"/>
      <c r="D126" s="603"/>
      <c r="E126" s="603"/>
      <c r="F126" s="603"/>
      <c r="G126" s="587"/>
      <c r="H126" s="588"/>
      <c r="I126" s="585"/>
      <c r="J126" s="586"/>
      <c r="K126" s="587"/>
      <c r="L126" s="588"/>
      <c r="M126" s="585"/>
      <c r="N126" s="586"/>
    </row>
    <row r="127" spans="2:14" ht="12.75">
      <c r="B127" s="603"/>
      <c r="C127" s="603"/>
      <c r="D127" s="603"/>
      <c r="E127" s="603"/>
      <c r="F127" s="603"/>
      <c r="G127" s="587"/>
      <c r="H127" s="588"/>
      <c r="I127" s="585"/>
      <c r="J127" s="586"/>
      <c r="K127" s="587"/>
      <c r="L127" s="588"/>
      <c r="M127" s="585"/>
      <c r="N127" s="586"/>
    </row>
    <row r="128" spans="2:14" ht="12.75">
      <c r="B128" s="603"/>
      <c r="C128" s="603"/>
      <c r="D128" s="603"/>
      <c r="E128" s="603"/>
      <c r="F128" s="603"/>
      <c r="G128" s="587"/>
      <c r="H128" s="588"/>
      <c r="I128" s="585"/>
      <c r="J128" s="586"/>
      <c r="K128" s="587"/>
      <c r="L128" s="588"/>
      <c r="M128" s="585"/>
      <c r="N128" s="586"/>
    </row>
    <row r="129" spans="2:14" ht="12.75">
      <c r="B129" s="603"/>
      <c r="C129" s="603"/>
      <c r="D129" s="603"/>
      <c r="E129" s="603"/>
      <c r="F129" s="603"/>
      <c r="G129" s="587"/>
      <c r="H129" s="588"/>
      <c r="I129" s="585"/>
      <c r="J129" s="586"/>
      <c r="K129" s="587"/>
      <c r="L129" s="588"/>
      <c r="M129" s="585"/>
      <c r="N129" s="586"/>
    </row>
    <row r="130" spans="2:14" ht="12.75">
      <c r="B130" s="603"/>
      <c r="C130" s="603"/>
      <c r="D130" s="603"/>
      <c r="E130" s="603"/>
      <c r="F130" s="603"/>
      <c r="G130" s="587"/>
      <c r="H130" s="588"/>
      <c r="I130" s="585"/>
      <c r="J130" s="586"/>
      <c r="K130" s="587"/>
      <c r="L130" s="588"/>
      <c r="M130" s="585"/>
      <c r="N130" s="586"/>
    </row>
    <row r="131" spans="2:20" ht="12.75">
      <c r="B131" s="603"/>
      <c r="C131" s="603"/>
      <c r="D131" s="603"/>
      <c r="E131" s="603"/>
      <c r="F131" s="603"/>
      <c r="G131" s="587"/>
      <c r="H131" s="588"/>
      <c r="I131" s="585"/>
      <c r="J131" s="586"/>
      <c r="K131" s="587"/>
      <c r="L131" s="588"/>
      <c r="M131" s="585"/>
      <c r="N131" s="586"/>
      <c r="P131" s="582">
        <f>IF(AND(S132="",S134=""),"","Разлика между СПРАВКАТА и ПРИЛОЖЕНИЕ №2!")</f>
      </c>
      <c r="Q131" s="582"/>
      <c r="R131" s="582"/>
      <c r="S131" s="582"/>
      <c r="T131" s="582"/>
    </row>
    <row r="132" spans="2:20" ht="12.75">
      <c r="B132" s="603"/>
      <c r="C132" s="603"/>
      <c r="D132" s="603"/>
      <c r="E132" s="603"/>
      <c r="F132" s="603"/>
      <c r="G132" s="587"/>
      <c r="H132" s="588"/>
      <c r="I132" s="585"/>
      <c r="J132" s="586"/>
      <c r="K132" s="587"/>
      <c r="L132" s="588"/>
      <c r="M132" s="585"/>
      <c r="N132" s="586"/>
      <c r="P132" s="583">
        <f>IF(S132="","","Разлика текущ период:")</f>
      </c>
      <c r="Q132" s="583"/>
      <c r="R132" s="583"/>
      <c r="S132" s="427">
        <f>IF(I135=K104,"",I135-K104)</f>
      </c>
      <c r="T132" s="426"/>
    </row>
    <row r="133" spans="2:20" ht="12.75">
      <c r="B133" s="603"/>
      <c r="C133" s="603"/>
      <c r="D133" s="603"/>
      <c r="E133" s="603"/>
      <c r="F133" s="603"/>
      <c r="G133" s="587"/>
      <c r="H133" s="588"/>
      <c r="I133" s="585"/>
      <c r="J133" s="586"/>
      <c r="K133" s="587"/>
      <c r="L133" s="588"/>
      <c r="M133" s="585"/>
      <c r="N133" s="586"/>
      <c r="P133" s="584">
        <f>IF(S132="","","Сума по приложение №2:")</f>
      </c>
      <c r="Q133" s="584"/>
      <c r="R133" s="584"/>
      <c r="S133" s="428">
        <f>IF(I135=K104,"",K104)</f>
      </c>
      <c r="T133" s="426"/>
    </row>
    <row r="134" spans="2:20" ht="12.75">
      <c r="B134" s="603"/>
      <c r="C134" s="603"/>
      <c r="D134" s="603"/>
      <c r="E134" s="603"/>
      <c r="F134" s="603"/>
      <c r="G134" s="587"/>
      <c r="H134" s="588"/>
      <c r="I134" s="585"/>
      <c r="J134" s="586"/>
      <c r="K134" s="587"/>
      <c r="L134" s="588"/>
      <c r="M134" s="585"/>
      <c r="N134" s="586"/>
      <c r="P134" s="583"/>
      <c r="Q134" s="583"/>
      <c r="R134" s="583"/>
      <c r="S134" s="427">
        <f>IF(M135=M104,"",M135-M104)</f>
      </c>
      <c r="T134" s="426"/>
    </row>
    <row r="135" spans="2:20" ht="12.75">
      <c r="B135" s="594" t="s">
        <v>85</v>
      </c>
      <c r="C135" s="595"/>
      <c r="D135" s="595"/>
      <c r="E135" s="595"/>
      <c r="F135" s="596"/>
      <c r="G135" s="589"/>
      <c r="H135" s="590"/>
      <c r="I135" s="591">
        <f>SUM(I125:J134)</f>
        <v>0</v>
      </c>
      <c r="J135" s="592"/>
      <c r="K135" s="589"/>
      <c r="L135" s="590"/>
      <c r="M135" s="591">
        <f>SUM(M125:N134)</f>
        <v>0</v>
      </c>
      <c r="N135" s="592"/>
      <c r="P135" s="584">
        <f>IF(S134="","","Сума по приложение №2:")</f>
      </c>
      <c r="Q135" s="584"/>
      <c r="R135" s="584"/>
      <c r="S135" s="428">
        <f>IF(M135=M104,"",M104)</f>
      </c>
      <c r="T135" s="426"/>
    </row>
    <row r="136" spans="2:14" ht="15">
      <c r="B136" s="593" t="s">
        <v>509</v>
      </c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</row>
    <row r="137" spans="2:14" ht="12.75">
      <c r="B137" s="629" t="s">
        <v>227</v>
      </c>
      <c r="C137" s="629"/>
      <c r="D137" s="629"/>
      <c r="E137" s="629"/>
      <c r="F137" s="629"/>
      <c r="G137" s="629"/>
      <c r="H137" s="629"/>
      <c r="I137" s="629"/>
      <c r="J137" s="629"/>
      <c r="K137" s="630" t="str">
        <f>K101</f>
        <v>31.12.2016г.</v>
      </c>
      <c r="L137" s="629"/>
      <c r="M137" s="630" t="str">
        <f>M101</f>
        <v>31.12.2015 г.</v>
      </c>
      <c r="N137" s="629"/>
    </row>
    <row r="138" spans="2:14" ht="12.75">
      <c r="B138" s="597" t="s">
        <v>499</v>
      </c>
      <c r="C138" s="597"/>
      <c r="D138" s="597"/>
      <c r="E138" s="597"/>
      <c r="F138" s="597"/>
      <c r="G138" s="597"/>
      <c r="H138" s="597"/>
      <c r="I138" s="597"/>
      <c r="J138" s="597"/>
      <c r="K138" s="598">
        <f>SUM(K139:L140)</f>
        <v>0</v>
      </c>
      <c r="L138" s="598"/>
      <c r="M138" s="598">
        <f>SUM(M139:N140)</f>
        <v>0</v>
      </c>
      <c r="N138" s="598"/>
    </row>
    <row r="139" spans="2:14" ht="12.75">
      <c r="B139" s="635" t="s">
        <v>497</v>
      </c>
      <c r="C139" s="635"/>
      <c r="D139" s="635"/>
      <c r="E139" s="635"/>
      <c r="F139" s="635"/>
      <c r="G139" s="635"/>
      <c r="H139" s="635"/>
      <c r="I139" s="635"/>
      <c r="J139" s="635"/>
      <c r="K139" s="626"/>
      <c r="L139" s="626"/>
      <c r="M139" s="626"/>
      <c r="N139" s="626"/>
    </row>
    <row r="140" spans="2:20" ht="12.75">
      <c r="B140" s="635" t="s">
        <v>500</v>
      </c>
      <c r="C140" s="635"/>
      <c r="D140" s="635"/>
      <c r="E140" s="635"/>
      <c r="F140" s="635"/>
      <c r="G140" s="635"/>
      <c r="H140" s="635"/>
      <c r="I140" s="635"/>
      <c r="J140" s="635"/>
      <c r="K140" s="626"/>
      <c r="L140" s="626"/>
      <c r="M140" s="626"/>
      <c r="N140" s="626"/>
      <c r="P140" s="582">
        <f>IF(AND(S141="",S143=""),"","Разлика между СПРАВКАТА и ПРИЛОЖЕНИЕ №2!")</f>
      </c>
      <c r="Q140" s="582"/>
      <c r="R140" s="582"/>
      <c r="S140" s="582"/>
      <c r="T140" s="582"/>
    </row>
    <row r="141" spans="2:20" ht="12.75">
      <c r="B141" s="632" t="s">
        <v>501</v>
      </c>
      <c r="C141" s="633"/>
      <c r="D141" s="633"/>
      <c r="E141" s="633"/>
      <c r="F141" s="633"/>
      <c r="G141" s="633"/>
      <c r="H141" s="633"/>
      <c r="I141" s="633"/>
      <c r="J141" s="634"/>
      <c r="K141" s="598">
        <f>SUM(K142:L143)</f>
        <v>0</v>
      </c>
      <c r="L141" s="598"/>
      <c r="M141" s="598">
        <f>SUM(M142:N143)</f>
        <v>0</v>
      </c>
      <c r="N141" s="598"/>
      <c r="P141" s="583">
        <f>IF(S141="","","Разлика текущ период:")</f>
      </c>
      <c r="Q141" s="583"/>
      <c r="R141" s="583"/>
      <c r="S141" s="427">
        <f>IF(K144=K105,"",K144-K105)</f>
      </c>
      <c r="T141" s="426"/>
    </row>
    <row r="142" spans="2:20" ht="12.75">
      <c r="B142" s="608" t="s">
        <v>502</v>
      </c>
      <c r="C142" s="609"/>
      <c r="D142" s="609"/>
      <c r="E142" s="609"/>
      <c r="F142" s="609"/>
      <c r="G142" s="609"/>
      <c r="H142" s="609"/>
      <c r="I142" s="609"/>
      <c r="J142" s="610"/>
      <c r="K142" s="626"/>
      <c r="L142" s="626"/>
      <c r="M142" s="626"/>
      <c r="N142" s="626"/>
      <c r="P142" s="584">
        <f>IF(S141="","","Сума по приложение №2:")</f>
      </c>
      <c r="Q142" s="584"/>
      <c r="R142" s="584"/>
      <c r="S142" s="428">
        <f>IF(K144=K105,"",K105)</f>
      </c>
      <c r="T142" s="426"/>
    </row>
    <row r="143" spans="2:20" ht="12.75">
      <c r="B143" s="608" t="s">
        <v>498</v>
      </c>
      <c r="C143" s="609"/>
      <c r="D143" s="609"/>
      <c r="E143" s="609"/>
      <c r="F143" s="609"/>
      <c r="G143" s="609"/>
      <c r="H143" s="609"/>
      <c r="I143" s="609"/>
      <c r="J143" s="610"/>
      <c r="K143" s="626"/>
      <c r="L143" s="626"/>
      <c r="M143" s="626"/>
      <c r="N143" s="626"/>
      <c r="P143" s="583"/>
      <c r="Q143" s="583"/>
      <c r="R143" s="583"/>
      <c r="S143" s="427">
        <f>IF(M144=M105,"",M144-M105)</f>
      </c>
      <c r="T143" s="426"/>
    </row>
    <row r="144" spans="2:20" ht="12.75">
      <c r="B144" s="623" t="s">
        <v>85</v>
      </c>
      <c r="C144" s="623"/>
      <c r="D144" s="623"/>
      <c r="E144" s="623"/>
      <c r="F144" s="623"/>
      <c r="G144" s="623"/>
      <c r="H144" s="623"/>
      <c r="I144" s="623"/>
      <c r="J144" s="623"/>
      <c r="K144" s="631">
        <f>K138+K141</f>
        <v>0</v>
      </c>
      <c r="L144" s="631"/>
      <c r="M144" s="631">
        <f>M138+M141</f>
        <v>0</v>
      </c>
      <c r="N144" s="631"/>
      <c r="P144" s="584">
        <f>IF(S143="","","Сума по приложение №2:")</f>
      </c>
      <c r="Q144" s="584"/>
      <c r="R144" s="584"/>
      <c r="S144" s="428">
        <f>IF(M144=M105,"",M105)</f>
      </c>
      <c r="T144" s="426"/>
    </row>
    <row r="145" spans="2:14" ht="15">
      <c r="B145" s="593" t="s">
        <v>510</v>
      </c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</row>
    <row r="146" spans="2:14" ht="12.75">
      <c r="B146" s="629" t="s">
        <v>227</v>
      </c>
      <c r="C146" s="629"/>
      <c r="D146" s="629"/>
      <c r="E146" s="629"/>
      <c r="F146" s="629"/>
      <c r="G146" s="629"/>
      <c r="H146" s="629"/>
      <c r="I146" s="629"/>
      <c r="J146" s="629"/>
      <c r="K146" s="630" t="str">
        <f>K101</f>
        <v>31.12.2016г.</v>
      </c>
      <c r="L146" s="629"/>
      <c r="M146" s="630" t="str">
        <f>M101</f>
        <v>31.12.2015 г.</v>
      </c>
      <c r="N146" s="629"/>
    </row>
    <row r="147" spans="2:14" ht="12.75">
      <c r="B147" s="597" t="s">
        <v>503</v>
      </c>
      <c r="C147" s="597"/>
      <c r="D147" s="597"/>
      <c r="E147" s="597"/>
      <c r="F147" s="597"/>
      <c r="G147" s="597"/>
      <c r="H147" s="597"/>
      <c r="I147" s="597"/>
      <c r="J147" s="597"/>
      <c r="K147" s="598">
        <f>SUM(K148:L149)</f>
        <v>0</v>
      </c>
      <c r="L147" s="598"/>
      <c r="M147" s="598">
        <f>SUM(M148:N149)</f>
        <v>0</v>
      </c>
      <c r="N147" s="598"/>
    </row>
    <row r="148" spans="2:14" ht="12.75">
      <c r="B148" s="635" t="s">
        <v>505</v>
      </c>
      <c r="C148" s="635"/>
      <c r="D148" s="635"/>
      <c r="E148" s="635"/>
      <c r="F148" s="635"/>
      <c r="G148" s="635"/>
      <c r="H148" s="635"/>
      <c r="I148" s="635"/>
      <c r="J148" s="635"/>
      <c r="K148" s="626"/>
      <c r="L148" s="626"/>
      <c r="M148" s="626"/>
      <c r="N148" s="626"/>
    </row>
    <row r="149" spans="2:20" ht="12.75">
      <c r="B149" s="635" t="s">
        <v>504</v>
      </c>
      <c r="C149" s="635"/>
      <c r="D149" s="635"/>
      <c r="E149" s="635"/>
      <c r="F149" s="635"/>
      <c r="G149" s="635"/>
      <c r="H149" s="635"/>
      <c r="I149" s="635"/>
      <c r="J149" s="635"/>
      <c r="K149" s="626"/>
      <c r="L149" s="626"/>
      <c r="M149" s="626"/>
      <c r="N149" s="626"/>
      <c r="P149" s="582">
        <f>IF(AND(S150="",S152=""),"","Разлика между СПРАВКАТА и ПРИЛОЖЕНИЕ №2!")</f>
      </c>
      <c r="Q149" s="582"/>
      <c r="R149" s="582"/>
      <c r="S149" s="582"/>
      <c r="T149" s="582"/>
    </row>
    <row r="150" spans="2:20" ht="12.75">
      <c r="B150" s="632" t="s">
        <v>261</v>
      </c>
      <c r="C150" s="633"/>
      <c r="D150" s="633"/>
      <c r="E150" s="633"/>
      <c r="F150" s="633"/>
      <c r="G150" s="633"/>
      <c r="H150" s="633"/>
      <c r="I150" s="633"/>
      <c r="J150" s="634"/>
      <c r="K150" s="598">
        <f>SUM(K151:L152)</f>
        <v>0</v>
      </c>
      <c r="L150" s="598"/>
      <c r="M150" s="598">
        <f>SUM(M151:N152)</f>
        <v>0</v>
      </c>
      <c r="N150" s="598"/>
      <c r="P150" s="583">
        <f>IF(S150="","","Разлика текущ период:")</f>
      </c>
      <c r="Q150" s="583"/>
      <c r="R150" s="583"/>
      <c r="S150" s="427">
        <f>IF(K153=K6,"",K153-K6)</f>
      </c>
      <c r="T150" s="426"/>
    </row>
    <row r="151" spans="2:20" ht="12.75">
      <c r="B151" s="608" t="s">
        <v>247</v>
      </c>
      <c r="C151" s="609"/>
      <c r="D151" s="609"/>
      <c r="E151" s="609"/>
      <c r="F151" s="609"/>
      <c r="G151" s="609"/>
      <c r="H151" s="609"/>
      <c r="I151" s="609"/>
      <c r="J151" s="610"/>
      <c r="K151" s="626"/>
      <c r="L151" s="626"/>
      <c r="M151" s="626"/>
      <c r="N151" s="626"/>
      <c r="P151" s="584">
        <f>IF(S150="","","Сума по приложение №2:")</f>
      </c>
      <c r="Q151" s="584"/>
      <c r="R151" s="584"/>
      <c r="S151" s="428">
        <f>IF(K153=K106,"",K6)</f>
      </c>
      <c r="T151" s="426"/>
    </row>
    <row r="152" spans="2:20" ht="12.75">
      <c r="B152" s="608" t="s">
        <v>274</v>
      </c>
      <c r="C152" s="609"/>
      <c r="D152" s="609"/>
      <c r="E152" s="609"/>
      <c r="F152" s="609"/>
      <c r="G152" s="609"/>
      <c r="H152" s="609"/>
      <c r="I152" s="609"/>
      <c r="J152" s="610"/>
      <c r="K152" s="626"/>
      <c r="L152" s="626"/>
      <c r="M152" s="626"/>
      <c r="N152" s="626"/>
      <c r="P152" s="583"/>
      <c r="Q152" s="583"/>
      <c r="R152" s="583"/>
      <c r="S152" s="427">
        <f>IF(M153=M106,"",M153-M6)</f>
      </c>
      <c r="T152" s="426"/>
    </row>
    <row r="153" spans="2:20" ht="12.75">
      <c r="B153" s="623" t="s">
        <v>85</v>
      </c>
      <c r="C153" s="623"/>
      <c r="D153" s="623"/>
      <c r="E153" s="623"/>
      <c r="F153" s="623"/>
      <c r="G153" s="623"/>
      <c r="H153" s="623"/>
      <c r="I153" s="623"/>
      <c r="J153" s="623"/>
      <c r="K153" s="631">
        <f>K147+K150</f>
        <v>0</v>
      </c>
      <c r="L153" s="631"/>
      <c r="M153" s="631">
        <f>M147+M150</f>
        <v>0</v>
      </c>
      <c r="N153" s="631"/>
      <c r="P153" s="584">
        <f>IF(S152="","","Сума по приложение №2:")</f>
      </c>
      <c r="Q153" s="584"/>
      <c r="R153" s="584"/>
      <c r="S153" s="428">
        <f>IF(M153=M106,"",M106)</f>
      </c>
      <c r="T153" s="426"/>
    </row>
    <row r="154" spans="2:14" ht="13.5" thickBot="1"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</row>
    <row r="155" spans="2:14" ht="12.75">
      <c r="B155" s="387"/>
      <c r="C155" s="387"/>
      <c r="D155" s="387"/>
      <c r="E155" s="387"/>
      <c r="F155" s="387"/>
      <c r="G155" s="387"/>
      <c r="H155" s="387"/>
      <c r="I155" s="387"/>
      <c r="J155" s="387"/>
      <c r="K155" s="387"/>
      <c r="L155" s="387"/>
      <c r="M155" s="387"/>
      <c r="N155" s="387"/>
    </row>
    <row r="156" spans="2:14" ht="15">
      <c r="B156" s="624" t="s">
        <v>561</v>
      </c>
      <c r="C156" s="624"/>
      <c r="D156" s="624"/>
      <c r="E156" s="624"/>
      <c r="F156" s="624"/>
      <c r="G156" s="624"/>
      <c r="H156" s="624"/>
      <c r="I156" s="624"/>
      <c r="J156" s="624"/>
      <c r="K156" s="624"/>
      <c r="L156" s="624"/>
      <c r="M156" s="624"/>
      <c r="N156" s="624"/>
    </row>
    <row r="157" spans="2:14" ht="12.75">
      <c r="B157" s="629" t="s">
        <v>523</v>
      </c>
      <c r="C157" s="629"/>
      <c r="D157" s="629"/>
      <c r="E157" s="629"/>
      <c r="F157" s="629"/>
      <c r="G157" s="388" t="s">
        <v>524</v>
      </c>
      <c r="H157" s="388" t="s">
        <v>527</v>
      </c>
      <c r="I157" s="388" t="s">
        <v>525</v>
      </c>
      <c r="J157" s="629" t="s">
        <v>526</v>
      </c>
      <c r="K157" s="629"/>
      <c r="L157" s="629"/>
      <c r="M157" s="629"/>
      <c r="N157" s="629"/>
    </row>
    <row r="158" spans="2:14" ht="12.75">
      <c r="B158" s="639"/>
      <c r="C158" s="639"/>
      <c r="D158" s="639"/>
      <c r="E158" s="639"/>
      <c r="F158" s="639"/>
      <c r="G158" s="238"/>
      <c r="H158" s="389"/>
      <c r="I158" s="238"/>
      <c r="J158" s="639"/>
      <c r="K158" s="639"/>
      <c r="L158" s="639"/>
      <c r="M158" s="639"/>
      <c r="N158" s="639"/>
    </row>
    <row r="159" spans="2:14" ht="12.75">
      <c r="B159" s="639"/>
      <c r="C159" s="639"/>
      <c r="D159" s="639"/>
      <c r="E159" s="639"/>
      <c r="F159" s="639"/>
      <c r="G159" s="238"/>
      <c r="H159" s="389"/>
      <c r="I159" s="238"/>
      <c r="J159" s="639"/>
      <c r="K159" s="639"/>
      <c r="L159" s="639"/>
      <c r="M159" s="639"/>
      <c r="N159" s="639"/>
    </row>
    <row r="160" spans="2:14" ht="12.75">
      <c r="B160" s="639"/>
      <c r="C160" s="639"/>
      <c r="D160" s="639"/>
      <c r="E160" s="639"/>
      <c r="F160" s="639"/>
      <c r="G160" s="238"/>
      <c r="H160" s="389"/>
      <c r="I160" s="238"/>
      <c r="J160" s="639"/>
      <c r="K160" s="639"/>
      <c r="L160" s="639"/>
      <c r="M160" s="639"/>
      <c r="N160" s="639"/>
    </row>
    <row r="161" spans="2:14" ht="12.75">
      <c r="B161" s="639"/>
      <c r="C161" s="639"/>
      <c r="D161" s="639"/>
      <c r="E161" s="639"/>
      <c r="F161" s="639"/>
      <c r="G161" s="238"/>
      <c r="H161" s="389"/>
      <c r="I161" s="238"/>
      <c r="J161" s="639"/>
      <c r="K161" s="639"/>
      <c r="L161" s="639"/>
      <c r="M161" s="639"/>
      <c r="N161" s="639"/>
    </row>
    <row r="162" spans="2:14" ht="12.75">
      <c r="B162" s="639"/>
      <c r="C162" s="639"/>
      <c r="D162" s="639"/>
      <c r="E162" s="639"/>
      <c r="F162" s="639"/>
      <c r="G162" s="238"/>
      <c r="H162" s="389"/>
      <c r="I162" s="238"/>
      <c r="J162" s="639"/>
      <c r="K162" s="639"/>
      <c r="L162" s="639"/>
      <c r="M162" s="639"/>
      <c r="N162" s="639"/>
    </row>
    <row r="163" spans="2:14" ht="12.75">
      <c r="B163" s="639"/>
      <c r="C163" s="639"/>
      <c r="D163" s="639"/>
      <c r="E163" s="639"/>
      <c r="F163" s="639"/>
      <c r="G163" s="238"/>
      <c r="H163" s="389"/>
      <c r="I163" s="238"/>
      <c r="J163" s="639"/>
      <c r="K163" s="639"/>
      <c r="L163" s="639"/>
      <c r="M163" s="639"/>
      <c r="N163" s="639"/>
    </row>
    <row r="164" spans="2:14" ht="12.75">
      <c r="B164" s="639"/>
      <c r="C164" s="639"/>
      <c r="D164" s="639"/>
      <c r="E164" s="639"/>
      <c r="F164" s="639"/>
      <c r="G164" s="238"/>
      <c r="H164" s="389"/>
      <c r="I164" s="238"/>
      <c r="J164" s="639"/>
      <c r="K164" s="639"/>
      <c r="L164" s="639"/>
      <c r="M164" s="639"/>
      <c r="N164" s="639"/>
    </row>
    <row r="165" spans="2:14" ht="12.75">
      <c r="B165" s="639"/>
      <c r="C165" s="639"/>
      <c r="D165" s="639"/>
      <c r="E165" s="639"/>
      <c r="F165" s="639"/>
      <c r="G165" s="238"/>
      <c r="H165" s="389"/>
      <c r="I165" s="238"/>
      <c r="J165" s="639"/>
      <c r="K165" s="639"/>
      <c r="L165" s="639"/>
      <c r="M165" s="639"/>
      <c r="N165" s="639"/>
    </row>
    <row r="166" spans="2:14" ht="12.75">
      <c r="B166" s="639"/>
      <c r="C166" s="639"/>
      <c r="D166" s="639"/>
      <c r="E166" s="639"/>
      <c r="F166" s="639"/>
      <c r="G166" s="238"/>
      <c r="H166" s="389"/>
      <c r="I166" s="238"/>
      <c r="J166" s="639"/>
      <c r="K166" s="639"/>
      <c r="L166" s="639"/>
      <c r="M166" s="639"/>
      <c r="N166" s="639"/>
    </row>
    <row r="167" spans="2:14" ht="12.75">
      <c r="B167" s="639"/>
      <c r="C167" s="639"/>
      <c r="D167" s="639"/>
      <c r="E167" s="639"/>
      <c r="F167" s="639"/>
      <c r="G167" s="238"/>
      <c r="H167" s="389"/>
      <c r="I167" s="238"/>
      <c r="J167" s="639"/>
      <c r="K167" s="639"/>
      <c r="L167" s="639"/>
      <c r="M167" s="639"/>
      <c r="N167" s="639"/>
    </row>
    <row r="168" spans="2:14" ht="15">
      <c r="B168" s="638" t="s">
        <v>562</v>
      </c>
      <c r="C168" s="638"/>
      <c r="D168" s="638"/>
      <c r="E168" s="638"/>
      <c r="F168" s="638"/>
      <c r="G168" s="638"/>
      <c r="H168" s="638"/>
      <c r="I168" s="638"/>
      <c r="J168" s="638"/>
      <c r="K168" s="638"/>
      <c r="L168" s="638"/>
      <c r="M168" s="638"/>
      <c r="N168" s="638"/>
    </row>
    <row r="169" spans="2:15" ht="12.75">
      <c r="B169" s="604" t="s">
        <v>523</v>
      </c>
      <c r="C169" s="617"/>
      <c r="D169" s="617"/>
      <c r="E169" s="617"/>
      <c r="F169" s="617"/>
      <c r="G169" s="617"/>
      <c r="H169" s="617"/>
      <c r="I169" s="617"/>
      <c r="J169" s="605"/>
      <c r="K169" s="657" t="s">
        <v>528</v>
      </c>
      <c r="L169" s="657"/>
      <c r="M169" s="657" t="s">
        <v>529</v>
      </c>
      <c r="N169" s="657"/>
      <c r="O169" s="387"/>
    </row>
    <row r="170" spans="2:15" ht="12.75">
      <c r="B170" s="606"/>
      <c r="C170" s="618"/>
      <c r="D170" s="618"/>
      <c r="E170" s="618"/>
      <c r="F170" s="618"/>
      <c r="G170" s="618"/>
      <c r="H170" s="618"/>
      <c r="I170" s="618"/>
      <c r="J170" s="607"/>
      <c r="K170" s="657"/>
      <c r="L170" s="657"/>
      <c r="M170" s="657"/>
      <c r="N170" s="657"/>
      <c r="O170" s="387"/>
    </row>
    <row r="171" spans="2:15" ht="12.75">
      <c r="B171" s="390"/>
      <c r="C171" s="391"/>
      <c r="D171" s="391"/>
      <c r="E171" s="391"/>
      <c r="F171" s="391"/>
      <c r="G171" s="391"/>
      <c r="H171" s="391"/>
      <c r="I171" s="391"/>
      <c r="J171" s="392"/>
      <c r="K171" s="626"/>
      <c r="L171" s="626"/>
      <c r="M171" s="626"/>
      <c r="N171" s="626"/>
      <c r="O171" s="387"/>
    </row>
    <row r="172" spans="2:18" ht="12.75">
      <c r="B172" s="390"/>
      <c r="C172" s="391"/>
      <c r="D172" s="391"/>
      <c r="E172" s="391"/>
      <c r="F172" s="391"/>
      <c r="G172" s="391"/>
      <c r="H172" s="391"/>
      <c r="I172" s="391"/>
      <c r="J172" s="392"/>
      <c r="K172" s="626"/>
      <c r="L172" s="626"/>
      <c r="M172" s="626"/>
      <c r="N172" s="626"/>
      <c r="O172" s="387"/>
      <c r="P172" s="387"/>
      <c r="Q172" s="387"/>
      <c r="R172" s="387"/>
    </row>
    <row r="173" spans="2:18" ht="12.75">
      <c r="B173" s="390"/>
      <c r="C173" s="391"/>
      <c r="D173" s="391"/>
      <c r="E173" s="391"/>
      <c r="F173" s="391"/>
      <c r="G173" s="391"/>
      <c r="H173" s="391"/>
      <c r="I173" s="391"/>
      <c r="J173" s="392"/>
      <c r="K173" s="626"/>
      <c r="L173" s="626"/>
      <c r="M173" s="626"/>
      <c r="N173" s="626"/>
      <c r="O173" s="387"/>
      <c r="P173" s="387"/>
      <c r="Q173" s="387"/>
      <c r="R173" s="387"/>
    </row>
    <row r="174" spans="2:18" ht="12.75">
      <c r="B174" s="390"/>
      <c r="C174" s="391"/>
      <c r="D174" s="391"/>
      <c r="E174" s="391"/>
      <c r="F174" s="391"/>
      <c r="G174" s="391"/>
      <c r="H174" s="391"/>
      <c r="I174" s="391"/>
      <c r="J174" s="392"/>
      <c r="K174" s="626"/>
      <c r="L174" s="626"/>
      <c r="M174" s="626"/>
      <c r="N174" s="626"/>
      <c r="O174" s="387"/>
      <c r="P174" s="387"/>
      <c r="Q174" s="387"/>
      <c r="R174" s="387"/>
    </row>
    <row r="175" spans="2:18" ht="12.75">
      <c r="B175" s="390"/>
      <c r="C175" s="391"/>
      <c r="D175" s="391"/>
      <c r="E175" s="391"/>
      <c r="F175" s="391"/>
      <c r="G175" s="391"/>
      <c r="H175" s="391"/>
      <c r="I175" s="391"/>
      <c r="J175" s="392"/>
      <c r="K175" s="626"/>
      <c r="L175" s="626"/>
      <c r="M175" s="626"/>
      <c r="N175" s="626"/>
      <c r="O175" s="387"/>
      <c r="P175" s="387"/>
      <c r="Q175" s="387"/>
      <c r="R175" s="387"/>
    </row>
    <row r="176" spans="2:18" ht="12.75">
      <c r="B176" s="390"/>
      <c r="C176" s="391"/>
      <c r="D176" s="391"/>
      <c r="E176" s="391"/>
      <c r="F176" s="391"/>
      <c r="G176" s="391"/>
      <c r="H176" s="391"/>
      <c r="I176" s="391"/>
      <c r="J176" s="392"/>
      <c r="K176" s="626"/>
      <c r="L176" s="626"/>
      <c r="M176" s="626"/>
      <c r="N176" s="626"/>
      <c r="O176" s="387"/>
      <c r="P176" s="387"/>
      <c r="Q176" s="387"/>
      <c r="R176" s="387"/>
    </row>
    <row r="177" spans="2:20" ht="12.75">
      <c r="B177" s="390"/>
      <c r="C177" s="391"/>
      <c r="D177" s="391"/>
      <c r="E177" s="391"/>
      <c r="F177" s="391"/>
      <c r="G177" s="391"/>
      <c r="H177" s="391"/>
      <c r="I177" s="391"/>
      <c r="J177" s="392"/>
      <c r="K177" s="626"/>
      <c r="L177" s="626"/>
      <c r="M177" s="626"/>
      <c r="N177" s="626"/>
      <c r="O177" s="387"/>
      <c r="P177" s="582">
        <f>IF(AND(S178="",S180=""),"","Разлика м/у ТАБ-ТА и СПРАВКИТЕ ЗА КРЕДИТИ")</f>
      </c>
      <c r="Q177" s="582"/>
      <c r="R177" s="582"/>
      <c r="S177" s="582"/>
      <c r="T177" s="582"/>
    </row>
    <row r="178" spans="2:20" ht="12.75">
      <c r="B178" s="390"/>
      <c r="C178" s="391"/>
      <c r="D178" s="391"/>
      <c r="E178" s="391"/>
      <c r="F178" s="391"/>
      <c r="G178" s="391"/>
      <c r="H178" s="391"/>
      <c r="I178" s="391"/>
      <c r="J178" s="392"/>
      <c r="K178" s="626"/>
      <c r="L178" s="626"/>
      <c r="M178" s="626"/>
      <c r="N178" s="626"/>
      <c r="O178" s="387"/>
      <c r="P178" s="583">
        <f>IF(S178="","","Разлика краткосрочна част:")</f>
      </c>
      <c r="Q178" s="583"/>
      <c r="R178" s="583"/>
      <c r="S178" s="427">
        <f>IF(K181=K141,"",K181-K141)</f>
      </c>
      <c r="T178" s="426"/>
    </row>
    <row r="179" spans="2:20" ht="12.75">
      <c r="B179" s="390"/>
      <c r="C179" s="391"/>
      <c r="D179" s="391"/>
      <c r="E179" s="391"/>
      <c r="F179" s="391"/>
      <c r="G179" s="391"/>
      <c r="H179" s="391"/>
      <c r="I179" s="391"/>
      <c r="J179" s="392"/>
      <c r="K179" s="626"/>
      <c r="L179" s="626"/>
      <c r="M179" s="626"/>
      <c r="N179" s="626"/>
      <c r="O179" s="387"/>
      <c r="P179" s="584">
        <f>IF(S178="","","Сума по кредити-текущи:")</f>
      </c>
      <c r="Q179" s="584"/>
      <c r="R179" s="584"/>
      <c r="S179" s="428">
        <f>IF(K181=K141,"",K141)</f>
      </c>
      <c r="T179" s="426"/>
    </row>
    <row r="180" spans="2:20" ht="12.75">
      <c r="B180" s="390"/>
      <c r="C180" s="391"/>
      <c r="D180" s="391"/>
      <c r="E180" s="391"/>
      <c r="F180" s="391"/>
      <c r="G180" s="391"/>
      <c r="H180" s="391"/>
      <c r="I180" s="391"/>
      <c r="J180" s="392"/>
      <c r="K180" s="626"/>
      <c r="L180" s="626"/>
      <c r="M180" s="626"/>
      <c r="N180" s="626"/>
      <c r="P180" s="583">
        <f>IF(S180="","","Разлика дългосрочна част:")</f>
      </c>
      <c r="Q180" s="583"/>
      <c r="R180" s="583"/>
      <c r="S180" s="427">
        <f>IF(M181=K85,"",M181-K85)</f>
      </c>
      <c r="T180" s="426"/>
    </row>
    <row r="181" spans="2:20" ht="12.75">
      <c r="B181" s="658" t="s">
        <v>85</v>
      </c>
      <c r="C181" s="659"/>
      <c r="D181" s="659"/>
      <c r="E181" s="659"/>
      <c r="F181" s="659"/>
      <c r="G181" s="659"/>
      <c r="H181" s="659"/>
      <c r="I181" s="659"/>
      <c r="J181" s="660"/>
      <c r="K181" s="631">
        <f>SUM(K171:L180)</f>
        <v>0</v>
      </c>
      <c r="L181" s="631"/>
      <c r="M181" s="631">
        <f>SUM(M171:N180)</f>
        <v>0</v>
      </c>
      <c r="N181" s="631"/>
      <c r="P181" s="584">
        <f>IF(S180="","","Сума по кредити-нетекущи:")</f>
      </c>
      <c r="Q181" s="584"/>
      <c r="R181" s="584"/>
      <c r="S181" s="428">
        <f>IF(M181=K85,"",K85)</f>
      </c>
      <c r="T181" s="426"/>
    </row>
    <row r="182" spans="16:18" ht="12.75">
      <c r="P182" s="387"/>
      <c r="Q182" s="387"/>
      <c r="R182" s="387"/>
    </row>
    <row r="183" spans="2:14" ht="15">
      <c r="B183" s="636" t="s">
        <v>563</v>
      </c>
      <c r="C183" s="636"/>
      <c r="D183" s="636"/>
      <c r="E183" s="636"/>
      <c r="F183" s="636"/>
      <c r="G183" s="636"/>
      <c r="H183" s="636"/>
      <c r="I183" s="636"/>
      <c r="J183" s="636"/>
      <c r="K183" s="636"/>
      <c r="L183" s="636"/>
      <c r="M183" s="380"/>
      <c r="N183" s="380"/>
    </row>
    <row r="184" spans="2:12" ht="12.75">
      <c r="B184" s="641" t="s">
        <v>663</v>
      </c>
      <c r="C184" s="641"/>
      <c r="D184" s="641"/>
      <c r="E184" s="641"/>
      <c r="F184" s="641"/>
      <c r="G184" s="641"/>
      <c r="H184" s="641"/>
      <c r="I184" s="641"/>
      <c r="J184" s="641"/>
      <c r="K184" s="641"/>
      <c r="L184" s="641"/>
    </row>
    <row r="185" spans="2:12" ht="12.75">
      <c r="B185" s="642"/>
      <c r="C185" s="643"/>
      <c r="D185" s="643"/>
      <c r="E185" s="643"/>
      <c r="F185" s="644"/>
      <c r="G185" s="640" t="s">
        <v>241</v>
      </c>
      <c r="H185" s="640"/>
      <c r="I185" s="640" t="s">
        <v>242</v>
      </c>
      <c r="J185" s="640"/>
      <c r="K185" s="640" t="s">
        <v>85</v>
      </c>
      <c r="L185" s="640"/>
    </row>
    <row r="186" spans="2:12" ht="12.75">
      <c r="B186" s="651" t="s">
        <v>243</v>
      </c>
      <c r="C186" s="652"/>
      <c r="D186" s="652"/>
      <c r="E186" s="652"/>
      <c r="F186" s="653"/>
      <c r="G186" s="645"/>
      <c r="H186" s="645"/>
      <c r="I186" s="645"/>
      <c r="J186" s="645"/>
      <c r="K186" s="637">
        <f>SUM(G186:I186)</f>
        <v>0</v>
      </c>
      <c r="L186" s="637"/>
    </row>
    <row r="187" spans="2:12" ht="12.75">
      <c r="B187" s="651" t="s">
        <v>244</v>
      </c>
      <c r="C187" s="652"/>
      <c r="D187" s="652"/>
      <c r="E187" s="652"/>
      <c r="F187" s="653"/>
      <c r="G187" s="645"/>
      <c r="H187" s="645"/>
      <c r="I187" s="645"/>
      <c r="J187" s="645"/>
      <c r="K187" s="637">
        <f>SUM(G187:I187)</f>
        <v>0</v>
      </c>
      <c r="L187" s="637"/>
    </row>
    <row r="188" spans="2:12" ht="12.75">
      <c r="B188" s="654" t="s">
        <v>245</v>
      </c>
      <c r="C188" s="655"/>
      <c r="D188" s="655"/>
      <c r="E188" s="655"/>
      <c r="F188" s="656"/>
      <c r="G188" s="646">
        <f>SUM(F186:F187)</f>
        <v>0</v>
      </c>
      <c r="H188" s="646"/>
      <c r="I188" s="646">
        <f>SUM(H186:H187)</f>
        <v>0</v>
      </c>
      <c r="J188" s="646"/>
      <c r="K188" s="646">
        <f>SUM(J186:J187)</f>
        <v>0</v>
      </c>
      <c r="L188" s="646"/>
    </row>
    <row r="189" spans="2:12" ht="12.75">
      <c r="B189" s="641" t="str">
        <f>CONCATENATE("Бъдещи минимални лизингови постъпления към 31.12.",НАЧАЛО!$AC$1-1," г.")</f>
        <v>Бъдещи минимални лизингови постъпления към 31.12.2015 г.</v>
      </c>
      <c r="C189" s="641"/>
      <c r="D189" s="641"/>
      <c r="E189" s="641"/>
      <c r="F189" s="641"/>
      <c r="G189" s="641"/>
      <c r="H189" s="641"/>
      <c r="I189" s="641"/>
      <c r="J189" s="641"/>
      <c r="K189" s="641"/>
      <c r="L189" s="641"/>
    </row>
    <row r="190" spans="2:12" ht="12.75">
      <c r="B190" s="647"/>
      <c r="C190" s="647"/>
      <c r="D190" s="647"/>
      <c r="E190" s="647"/>
      <c r="F190" s="647"/>
      <c r="G190" s="640" t="s">
        <v>241</v>
      </c>
      <c r="H190" s="640"/>
      <c r="I190" s="640" t="s">
        <v>242</v>
      </c>
      <c r="J190" s="640"/>
      <c r="K190" s="640" t="s">
        <v>85</v>
      </c>
      <c r="L190" s="640"/>
    </row>
    <row r="191" spans="2:12" ht="12.75">
      <c r="B191" s="648" t="s">
        <v>243</v>
      </c>
      <c r="C191" s="648"/>
      <c r="D191" s="648"/>
      <c r="E191" s="648"/>
      <c r="F191" s="648"/>
      <c r="G191" s="645"/>
      <c r="H191" s="645"/>
      <c r="I191" s="645"/>
      <c r="J191" s="645"/>
      <c r="K191" s="637">
        <f>SUM(F191:I191)</f>
        <v>0</v>
      </c>
      <c r="L191" s="637"/>
    </row>
    <row r="192" spans="2:12" ht="12.75">
      <c r="B192" s="648" t="s">
        <v>244</v>
      </c>
      <c r="C192" s="648"/>
      <c r="D192" s="648"/>
      <c r="E192" s="648"/>
      <c r="F192" s="648"/>
      <c r="G192" s="645"/>
      <c r="H192" s="645"/>
      <c r="I192" s="645"/>
      <c r="J192" s="645"/>
      <c r="K192" s="637">
        <f>SUM(F192:I192)</f>
        <v>0</v>
      </c>
      <c r="L192" s="637"/>
    </row>
    <row r="193" spans="2:12" ht="12.75">
      <c r="B193" s="649" t="s">
        <v>245</v>
      </c>
      <c r="C193" s="649"/>
      <c r="D193" s="649"/>
      <c r="E193" s="649"/>
      <c r="F193" s="649"/>
      <c r="G193" s="646">
        <f>SUM(G191:G192)</f>
        <v>0</v>
      </c>
      <c r="H193" s="646"/>
      <c r="I193" s="646">
        <f>SUM(I191:I192)</f>
        <v>0</v>
      </c>
      <c r="J193" s="646"/>
      <c r="K193" s="646">
        <f>SUM(K191:K192)</f>
        <v>0</v>
      </c>
      <c r="L193" s="646"/>
    </row>
    <row r="194" spans="2:12" ht="15">
      <c r="B194" s="650" t="s">
        <v>564</v>
      </c>
      <c r="C194" s="650"/>
      <c r="D194" s="650"/>
      <c r="E194" s="650"/>
      <c r="F194" s="650"/>
      <c r="G194" s="650"/>
      <c r="H194" s="650"/>
      <c r="I194" s="650"/>
      <c r="J194" s="650"/>
      <c r="K194" s="650"/>
      <c r="L194" s="650"/>
    </row>
    <row r="195" spans="2:12" ht="12.75">
      <c r="B195" s="641" t="s">
        <v>663</v>
      </c>
      <c r="C195" s="641"/>
      <c r="D195" s="641"/>
      <c r="E195" s="641"/>
      <c r="F195" s="641"/>
      <c r="G195" s="641"/>
      <c r="H195" s="641"/>
      <c r="I195" s="641"/>
      <c r="J195" s="641"/>
      <c r="K195" s="641"/>
      <c r="L195" s="641"/>
    </row>
    <row r="196" spans="2:12" ht="12.75">
      <c r="B196" s="648" t="s">
        <v>243</v>
      </c>
      <c r="C196" s="648"/>
      <c r="D196" s="648"/>
      <c r="E196" s="648"/>
      <c r="F196" s="648"/>
      <c r="G196" s="645"/>
      <c r="H196" s="645"/>
      <c r="I196" s="645"/>
      <c r="J196" s="645"/>
      <c r="K196" s="637">
        <f>SUM(F196:I196)</f>
        <v>0</v>
      </c>
      <c r="L196" s="637"/>
    </row>
    <row r="197" spans="2:12" ht="12.75">
      <c r="B197" s="649" t="s">
        <v>85</v>
      </c>
      <c r="C197" s="649"/>
      <c r="D197" s="649"/>
      <c r="E197" s="649"/>
      <c r="F197" s="649"/>
      <c r="G197" s="646">
        <f>SUM(G196)</f>
        <v>0</v>
      </c>
      <c r="H197" s="646"/>
      <c r="I197" s="646">
        <f>SUM(I196)</f>
        <v>0</v>
      </c>
      <c r="J197" s="646"/>
      <c r="K197" s="646">
        <f>SUM(K196)</f>
        <v>0</v>
      </c>
      <c r="L197" s="646"/>
    </row>
  </sheetData>
  <sheetProtection/>
  <mergeCells count="781">
    <mergeCell ref="B181:J181"/>
    <mergeCell ref="K178:L178"/>
    <mergeCell ref="M178:N178"/>
    <mergeCell ref="K179:L179"/>
    <mergeCell ref="M179:N179"/>
    <mergeCell ref="K180:L180"/>
    <mergeCell ref="M180:N180"/>
    <mergeCell ref="K181:L181"/>
    <mergeCell ref="M181:N181"/>
    <mergeCell ref="K177:L177"/>
    <mergeCell ref="M177:N177"/>
    <mergeCell ref="M174:N174"/>
    <mergeCell ref="K175:L175"/>
    <mergeCell ref="M175:N175"/>
    <mergeCell ref="K174:L174"/>
    <mergeCell ref="K176:L176"/>
    <mergeCell ref="M176:N176"/>
    <mergeCell ref="M169:N170"/>
    <mergeCell ref="K172:L172"/>
    <mergeCell ref="B163:F163"/>
    <mergeCell ref="B167:F167"/>
    <mergeCell ref="J167:N167"/>
    <mergeCell ref="M172:N172"/>
    <mergeCell ref="K173:L173"/>
    <mergeCell ref="M173:N173"/>
    <mergeCell ref="B169:J170"/>
    <mergeCell ref="B160:F160"/>
    <mergeCell ref="B161:F161"/>
    <mergeCell ref="B162:F162"/>
    <mergeCell ref="J160:N160"/>
    <mergeCell ref="K169:L170"/>
    <mergeCell ref="K171:L171"/>
    <mergeCell ref="M171:N171"/>
    <mergeCell ref="J157:N157"/>
    <mergeCell ref="B158:F158"/>
    <mergeCell ref="B159:F159"/>
    <mergeCell ref="B157:F157"/>
    <mergeCell ref="J158:N158"/>
    <mergeCell ref="J159:N159"/>
    <mergeCell ref="B191:F191"/>
    <mergeCell ref="I186:J186"/>
    <mergeCell ref="I187:J187"/>
    <mergeCell ref="I188:J188"/>
    <mergeCell ref="G190:H190"/>
    <mergeCell ref="B187:F187"/>
    <mergeCell ref="B188:F188"/>
    <mergeCell ref="B186:F186"/>
    <mergeCell ref="B197:F197"/>
    <mergeCell ref="K196:L196"/>
    <mergeCell ref="K197:L197"/>
    <mergeCell ref="I196:J196"/>
    <mergeCell ref="I197:J197"/>
    <mergeCell ref="B196:F196"/>
    <mergeCell ref="G197:H197"/>
    <mergeCell ref="G196:H196"/>
    <mergeCell ref="I193:J193"/>
    <mergeCell ref="G193:H193"/>
    <mergeCell ref="B195:L195"/>
    <mergeCell ref="G191:H191"/>
    <mergeCell ref="I192:J192"/>
    <mergeCell ref="G192:H192"/>
    <mergeCell ref="B192:F192"/>
    <mergeCell ref="B193:F193"/>
    <mergeCell ref="B194:L194"/>
    <mergeCell ref="K193:L193"/>
    <mergeCell ref="K192:L192"/>
    <mergeCell ref="G187:H187"/>
    <mergeCell ref="G188:H188"/>
    <mergeCell ref="K190:L190"/>
    <mergeCell ref="K191:L191"/>
    <mergeCell ref="I190:J190"/>
    <mergeCell ref="K188:L188"/>
    <mergeCell ref="B189:L189"/>
    <mergeCell ref="B190:F190"/>
    <mergeCell ref="I191:J191"/>
    <mergeCell ref="K187:L187"/>
    <mergeCell ref="B156:N156"/>
    <mergeCell ref="K185:L185"/>
    <mergeCell ref="B184:L184"/>
    <mergeCell ref="B185:F185"/>
    <mergeCell ref="J161:N161"/>
    <mergeCell ref="J162:N162"/>
    <mergeCell ref="G185:H185"/>
    <mergeCell ref="G186:H186"/>
    <mergeCell ref="I185:J185"/>
    <mergeCell ref="B183:L183"/>
    <mergeCell ref="K186:L186"/>
    <mergeCell ref="B168:N168"/>
    <mergeCell ref="J163:N163"/>
    <mergeCell ref="B164:F164"/>
    <mergeCell ref="B165:F165"/>
    <mergeCell ref="B166:F166"/>
    <mergeCell ref="J164:N164"/>
    <mergeCell ref="J165:N165"/>
    <mergeCell ref="J166:N166"/>
    <mergeCell ref="B150:J150"/>
    <mergeCell ref="K150:L150"/>
    <mergeCell ref="M150:N150"/>
    <mergeCell ref="B151:J151"/>
    <mergeCell ref="K151:L151"/>
    <mergeCell ref="M151:N151"/>
    <mergeCell ref="M152:N152"/>
    <mergeCell ref="B153:J153"/>
    <mergeCell ref="K153:L153"/>
    <mergeCell ref="M153:N153"/>
    <mergeCell ref="B152:J152"/>
    <mergeCell ref="K152:L152"/>
    <mergeCell ref="B148:J148"/>
    <mergeCell ref="K148:L148"/>
    <mergeCell ref="M148:N148"/>
    <mergeCell ref="B149:J149"/>
    <mergeCell ref="K149:L149"/>
    <mergeCell ref="M149:N149"/>
    <mergeCell ref="B146:J146"/>
    <mergeCell ref="K146:L146"/>
    <mergeCell ref="M146:N146"/>
    <mergeCell ref="B147:J147"/>
    <mergeCell ref="K147:L147"/>
    <mergeCell ref="M147:N147"/>
    <mergeCell ref="B142:J142"/>
    <mergeCell ref="K142:L142"/>
    <mergeCell ref="M142:N142"/>
    <mergeCell ref="B143:J143"/>
    <mergeCell ref="K143:L143"/>
    <mergeCell ref="M143:N143"/>
    <mergeCell ref="B144:J144"/>
    <mergeCell ref="K144:L144"/>
    <mergeCell ref="M144:N144"/>
    <mergeCell ref="B145:N145"/>
    <mergeCell ref="B140:J140"/>
    <mergeCell ref="K140:L140"/>
    <mergeCell ref="M140:N140"/>
    <mergeCell ref="B141:J141"/>
    <mergeCell ref="K141:L141"/>
    <mergeCell ref="M141:N141"/>
    <mergeCell ref="B138:J138"/>
    <mergeCell ref="K138:L138"/>
    <mergeCell ref="M138:N138"/>
    <mergeCell ref="B139:J139"/>
    <mergeCell ref="K139:L139"/>
    <mergeCell ref="M139:N139"/>
    <mergeCell ref="M135:N135"/>
    <mergeCell ref="B136:N136"/>
    <mergeCell ref="B137:J137"/>
    <mergeCell ref="K137:L137"/>
    <mergeCell ref="M137:N137"/>
    <mergeCell ref="B135:F135"/>
    <mergeCell ref="G135:H135"/>
    <mergeCell ref="I135:J135"/>
    <mergeCell ref="K135:L135"/>
    <mergeCell ref="G134:H134"/>
    <mergeCell ref="I134:J134"/>
    <mergeCell ref="G133:H133"/>
    <mergeCell ref="I133:J133"/>
    <mergeCell ref="B133:C133"/>
    <mergeCell ref="D133:F133"/>
    <mergeCell ref="B134:C134"/>
    <mergeCell ref="D134:F134"/>
    <mergeCell ref="K133:L133"/>
    <mergeCell ref="M133:N133"/>
    <mergeCell ref="K134:L134"/>
    <mergeCell ref="M134:N134"/>
    <mergeCell ref="K131:L131"/>
    <mergeCell ref="M131:N131"/>
    <mergeCell ref="K132:L132"/>
    <mergeCell ref="M132:N132"/>
    <mergeCell ref="B131:C131"/>
    <mergeCell ref="D131:F131"/>
    <mergeCell ref="G131:H131"/>
    <mergeCell ref="I131:J131"/>
    <mergeCell ref="B132:C132"/>
    <mergeCell ref="D132:F132"/>
    <mergeCell ref="G132:H132"/>
    <mergeCell ref="I132:J132"/>
    <mergeCell ref="G130:H130"/>
    <mergeCell ref="I130:J130"/>
    <mergeCell ref="G129:H129"/>
    <mergeCell ref="I129:J129"/>
    <mergeCell ref="B129:C129"/>
    <mergeCell ref="D129:F129"/>
    <mergeCell ref="B130:C130"/>
    <mergeCell ref="D130:F130"/>
    <mergeCell ref="K129:L129"/>
    <mergeCell ref="M129:N129"/>
    <mergeCell ref="K130:L130"/>
    <mergeCell ref="M130:N130"/>
    <mergeCell ref="K127:L127"/>
    <mergeCell ref="M127:N127"/>
    <mergeCell ref="K128:L128"/>
    <mergeCell ref="M128:N128"/>
    <mergeCell ref="B127:C127"/>
    <mergeCell ref="D127:F127"/>
    <mergeCell ref="G127:H127"/>
    <mergeCell ref="I127:J127"/>
    <mergeCell ref="B128:C128"/>
    <mergeCell ref="D128:F128"/>
    <mergeCell ref="G128:H128"/>
    <mergeCell ref="I128:J128"/>
    <mergeCell ref="K125:L125"/>
    <mergeCell ref="M125:N125"/>
    <mergeCell ref="B126:C126"/>
    <mergeCell ref="D126:F126"/>
    <mergeCell ref="G126:H126"/>
    <mergeCell ref="I126:J126"/>
    <mergeCell ref="K126:L126"/>
    <mergeCell ref="M126:N126"/>
    <mergeCell ref="B125:C125"/>
    <mergeCell ref="D125:F125"/>
    <mergeCell ref="G125:H125"/>
    <mergeCell ref="I125:J125"/>
    <mergeCell ref="M121:N121"/>
    <mergeCell ref="B122:N122"/>
    <mergeCell ref="B123:C124"/>
    <mergeCell ref="D123:F124"/>
    <mergeCell ref="G123:J123"/>
    <mergeCell ref="K123:N123"/>
    <mergeCell ref="G124:H124"/>
    <mergeCell ref="I124:J124"/>
    <mergeCell ref="K124:L124"/>
    <mergeCell ref="M124:N124"/>
    <mergeCell ref="B121:F121"/>
    <mergeCell ref="G121:H121"/>
    <mergeCell ref="I121:J121"/>
    <mergeCell ref="K121:L121"/>
    <mergeCell ref="G120:H120"/>
    <mergeCell ref="I120:J120"/>
    <mergeCell ref="G119:H119"/>
    <mergeCell ref="I119:J119"/>
    <mergeCell ref="B119:C119"/>
    <mergeCell ref="D119:F119"/>
    <mergeCell ref="B120:C120"/>
    <mergeCell ref="D120:F120"/>
    <mergeCell ref="K119:L119"/>
    <mergeCell ref="M119:N119"/>
    <mergeCell ref="K120:L120"/>
    <mergeCell ref="M120:N120"/>
    <mergeCell ref="K117:L117"/>
    <mergeCell ref="M117:N117"/>
    <mergeCell ref="K118:L118"/>
    <mergeCell ref="M118:N118"/>
    <mergeCell ref="B117:C117"/>
    <mergeCell ref="D117:F117"/>
    <mergeCell ref="G117:H117"/>
    <mergeCell ref="I117:J117"/>
    <mergeCell ref="B118:C118"/>
    <mergeCell ref="D118:F118"/>
    <mergeCell ref="G118:H118"/>
    <mergeCell ref="I118:J118"/>
    <mergeCell ref="G116:H116"/>
    <mergeCell ref="I116:J116"/>
    <mergeCell ref="G115:H115"/>
    <mergeCell ref="I115:J115"/>
    <mergeCell ref="B115:C115"/>
    <mergeCell ref="D115:F115"/>
    <mergeCell ref="B116:C116"/>
    <mergeCell ref="D116:F116"/>
    <mergeCell ref="K115:L115"/>
    <mergeCell ref="M115:N115"/>
    <mergeCell ref="K116:L116"/>
    <mergeCell ref="M116:N116"/>
    <mergeCell ref="K113:L113"/>
    <mergeCell ref="M113:N113"/>
    <mergeCell ref="K114:L114"/>
    <mergeCell ref="M114:N114"/>
    <mergeCell ref="B113:C113"/>
    <mergeCell ref="D113:F113"/>
    <mergeCell ref="G113:H113"/>
    <mergeCell ref="I113:J113"/>
    <mergeCell ref="B114:C114"/>
    <mergeCell ref="D114:F114"/>
    <mergeCell ref="G114:H114"/>
    <mergeCell ref="I114:J114"/>
    <mergeCell ref="M111:N111"/>
    <mergeCell ref="B112:C112"/>
    <mergeCell ref="D112:F112"/>
    <mergeCell ref="G112:H112"/>
    <mergeCell ref="I112:J112"/>
    <mergeCell ref="K112:L112"/>
    <mergeCell ref="M112:N112"/>
    <mergeCell ref="D111:F111"/>
    <mergeCell ref="G111:H111"/>
    <mergeCell ref="I111:J111"/>
    <mergeCell ref="D109:F110"/>
    <mergeCell ref="G109:J109"/>
    <mergeCell ref="K109:N109"/>
    <mergeCell ref="G110:H110"/>
    <mergeCell ref="I110:J110"/>
    <mergeCell ref="K110:L110"/>
    <mergeCell ref="M103:N103"/>
    <mergeCell ref="M104:N104"/>
    <mergeCell ref="M105:N105"/>
    <mergeCell ref="B101:J102"/>
    <mergeCell ref="B103:J103"/>
    <mergeCell ref="K103:L103"/>
    <mergeCell ref="B104:J104"/>
    <mergeCell ref="K104:L104"/>
    <mergeCell ref="B105:J105"/>
    <mergeCell ref="B100:N100"/>
    <mergeCell ref="B95:J95"/>
    <mergeCell ref="K95:L95"/>
    <mergeCell ref="M95:N95"/>
    <mergeCell ref="B96:J96"/>
    <mergeCell ref="K96:L96"/>
    <mergeCell ref="M96:N96"/>
    <mergeCell ref="B111:C111"/>
    <mergeCell ref="K106:L106"/>
    <mergeCell ref="M106:N106"/>
    <mergeCell ref="B107:J107"/>
    <mergeCell ref="K111:L111"/>
    <mergeCell ref="M110:N110"/>
    <mergeCell ref="B108:N108"/>
    <mergeCell ref="B109:C110"/>
    <mergeCell ref="B106:J106"/>
    <mergeCell ref="K107:L107"/>
    <mergeCell ref="M94:N94"/>
    <mergeCell ref="M93:N93"/>
    <mergeCell ref="B93:J93"/>
    <mergeCell ref="M107:N107"/>
    <mergeCell ref="B97:J97"/>
    <mergeCell ref="K97:L97"/>
    <mergeCell ref="M97:N97"/>
    <mergeCell ref="K101:L102"/>
    <mergeCell ref="M101:N102"/>
    <mergeCell ref="K105:L105"/>
    <mergeCell ref="B94:J94"/>
    <mergeCell ref="K94:L94"/>
    <mergeCell ref="K91:L91"/>
    <mergeCell ref="K86:L86"/>
    <mergeCell ref="B92:J92"/>
    <mergeCell ref="B83:J83"/>
    <mergeCell ref="B84:J84"/>
    <mergeCell ref="B85:J85"/>
    <mergeCell ref="M81:N81"/>
    <mergeCell ref="M82:N82"/>
    <mergeCell ref="M83:N83"/>
    <mergeCell ref="M84:N84"/>
    <mergeCell ref="K82:L82"/>
    <mergeCell ref="K93:L93"/>
    <mergeCell ref="M86:N86"/>
    <mergeCell ref="M90:N90"/>
    <mergeCell ref="M88:N88"/>
    <mergeCell ref="M91:N91"/>
    <mergeCell ref="M92:N92"/>
    <mergeCell ref="B87:J87"/>
    <mergeCell ref="B88:J88"/>
    <mergeCell ref="B90:J90"/>
    <mergeCell ref="B91:J91"/>
    <mergeCell ref="K87:L87"/>
    <mergeCell ref="K88:L88"/>
    <mergeCell ref="K92:L92"/>
    <mergeCell ref="K90:L90"/>
    <mergeCell ref="B81:J81"/>
    <mergeCell ref="K81:L81"/>
    <mergeCell ref="I12:J12"/>
    <mergeCell ref="B14:F14"/>
    <mergeCell ref="G14:H14"/>
    <mergeCell ref="B13:F13"/>
    <mergeCell ref="G13:H13"/>
    <mergeCell ref="I13:J13"/>
    <mergeCell ref="K13:L13"/>
    <mergeCell ref="B15:F15"/>
    <mergeCell ref="B10:N10"/>
    <mergeCell ref="B11:F12"/>
    <mergeCell ref="G11:J11"/>
    <mergeCell ref="K11:N11"/>
    <mergeCell ref="G12:H12"/>
    <mergeCell ref="K12:L12"/>
    <mergeCell ref="M12:N12"/>
    <mergeCell ref="B86:J86"/>
    <mergeCell ref="B89:N89"/>
    <mergeCell ref="M87:N87"/>
    <mergeCell ref="K83:L83"/>
    <mergeCell ref="K84:L84"/>
    <mergeCell ref="K85:L85"/>
    <mergeCell ref="B16:F16"/>
    <mergeCell ref="G16:H16"/>
    <mergeCell ref="I16:J16"/>
    <mergeCell ref="K16:L16"/>
    <mergeCell ref="M13:N13"/>
    <mergeCell ref="K15:L15"/>
    <mergeCell ref="M14:N14"/>
    <mergeCell ref="M15:N15"/>
    <mergeCell ref="K14:L14"/>
    <mergeCell ref="G15:H15"/>
    <mergeCell ref="I15:J15"/>
    <mergeCell ref="I14:J14"/>
    <mergeCell ref="M18:N18"/>
    <mergeCell ref="M16:N16"/>
    <mergeCell ref="B17:F17"/>
    <mergeCell ref="G17:H17"/>
    <mergeCell ref="I17:J17"/>
    <mergeCell ref="K17:L17"/>
    <mergeCell ref="M17:N17"/>
    <mergeCell ref="M19:N19"/>
    <mergeCell ref="B18:F18"/>
    <mergeCell ref="G18:H18"/>
    <mergeCell ref="I18:J18"/>
    <mergeCell ref="K18:L18"/>
    <mergeCell ref="B19:F19"/>
    <mergeCell ref="G19:H19"/>
    <mergeCell ref="I19:J19"/>
    <mergeCell ref="K19:L19"/>
    <mergeCell ref="M20:N20"/>
    <mergeCell ref="B21:F21"/>
    <mergeCell ref="G21:H21"/>
    <mergeCell ref="I21:J21"/>
    <mergeCell ref="K21:L21"/>
    <mergeCell ref="M21:N21"/>
    <mergeCell ref="B20:F20"/>
    <mergeCell ref="G20:H20"/>
    <mergeCell ref="I20:J20"/>
    <mergeCell ref="K20:L20"/>
    <mergeCell ref="M22:N22"/>
    <mergeCell ref="B23:F23"/>
    <mergeCell ref="G23:H23"/>
    <mergeCell ref="I23:J23"/>
    <mergeCell ref="K23:L23"/>
    <mergeCell ref="M23:N23"/>
    <mergeCell ref="B22:F22"/>
    <mergeCell ref="G22:H22"/>
    <mergeCell ref="I22:J22"/>
    <mergeCell ref="K22:L22"/>
    <mergeCell ref="B24:N24"/>
    <mergeCell ref="B25:F26"/>
    <mergeCell ref="G25:J25"/>
    <mergeCell ref="K25:N25"/>
    <mergeCell ref="G26:H26"/>
    <mergeCell ref="I26:J26"/>
    <mergeCell ref="K26:L26"/>
    <mergeCell ref="M26:N26"/>
    <mergeCell ref="M27:N27"/>
    <mergeCell ref="B28:F28"/>
    <mergeCell ref="G28:H28"/>
    <mergeCell ref="I28:J28"/>
    <mergeCell ref="K28:L28"/>
    <mergeCell ref="M28:N28"/>
    <mergeCell ref="B27:F27"/>
    <mergeCell ref="G27:H27"/>
    <mergeCell ref="I27:J27"/>
    <mergeCell ref="K27:L27"/>
    <mergeCell ref="M29:N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31:N31"/>
    <mergeCell ref="B32:F32"/>
    <mergeCell ref="G32:H32"/>
    <mergeCell ref="I32:J32"/>
    <mergeCell ref="K32:L32"/>
    <mergeCell ref="M32:N32"/>
    <mergeCell ref="B31:F31"/>
    <mergeCell ref="G31:H31"/>
    <mergeCell ref="I31:J31"/>
    <mergeCell ref="K31:L31"/>
    <mergeCell ref="M33:N33"/>
    <mergeCell ref="B34:F34"/>
    <mergeCell ref="G34:H34"/>
    <mergeCell ref="I34:J34"/>
    <mergeCell ref="K34:L34"/>
    <mergeCell ref="M34:N34"/>
    <mergeCell ref="B33:F33"/>
    <mergeCell ref="G33:H33"/>
    <mergeCell ref="I33:J33"/>
    <mergeCell ref="K33:L33"/>
    <mergeCell ref="K39:N39"/>
    <mergeCell ref="G40:H40"/>
    <mergeCell ref="M37:N37"/>
    <mergeCell ref="B38:N38"/>
    <mergeCell ref="B37:F37"/>
    <mergeCell ref="G37:H37"/>
    <mergeCell ref="I37:J37"/>
    <mergeCell ref="K37:L37"/>
    <mergeCell ref="B39:F40"/>
    <mergeCell ref="G39:J39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I40:J40"/>
    <mergeCell ref="K40:L40"/>
    <mergeCell ref="M40:N40"/>
    <mergeCell ref="M41:N41"/>
    <mergeCell ref="K42:L42"/>
    <mergeCell ref="M42:N42"/>
    <mergeCell ref="K43:L43"/>
    <mergeCell ref="B41:F41"/>
    <mergeCell ref="G41:H41"/>
    <mergeCell ref="I41:J41"/>
    <mergeCell ref="K41:L41"/>
    <mergeCell ref="M43:N43"/>
    <mergeCell ref="B42:F42"/>
    <mergeCell ref="G42:H42"/>
    <mergeCell ref="I42:J42"/>
    <mergeCell ref="B44:F44"/>
    <mergeCell ref="B43:F43"/>
    <mergeCell ref="G43:H43"/>
    <mergeCell ref="I43:J43"/>
    <mergeCell ref="M48:N48"/>
    <mergeCell ref="B45:F45"/>
    <mergeCell ref="G45:H45"/>
    <mergeCell ref="I45:J45"/>
    <mergeCell ref="K45:L45"/>
    <mergeCell ref="M45:N45"/>
    <mergeCell ref="M46:N46"/>
    <mergeCell ref="M47:N47"/>
    <mergeCell ref="B47:F47"/>
    <mergeCell ref="B46:F46"/>
    <mergeCell ref="M44:N44"/>
    <mergeCell ref="G44:H44"/>
    <mergeCell ref="I44:J44"/>
    <mergeCell ref="K46:L46"/>
    <mergeCell ref="K44:L44"/>
    <mergeCell ref="K47:L47"/>
    <mergeCell ref="G46:H46"/>
    <mergeCell ref="I46:J46"/>
    <mergeCell ref="I47:J47"/>
    <mergeCell ref="B49:F49"/>
    <mergeCell ref="G49:H49"/>
    <mergeCell ref="I49:J49"/>
    <mergeCell ref="K49:L49"/>
    <mergeCell ref="M49:N49"/>
    <mergeCell ref="G47:H47"/>
    <mergeCell ref="K48:L48"/>
    <mergeCell ref="B48:F48"/>
    <mergeCell ref="G48:H48"/>
    <mergeCell ref="I48:J48"/>
    <mergeCell ref="G54:H54"/>
    <mergeCell ref="I54:J54"/>
    <mergeCell ref="K54:L54"/>
    <mergeCell ref="M54:N54"/>
    <mergeCell ref="B50:F50"/>
    <mergeCell ref="G50:H50"/>
    <mergeCell ref="I50:J50"/>
    <mergeCell ref="B51:F51"/>
    <mergeCell ref="G51:H51"/>
    <mergeCell ref="I51:J51"/>
    <mergeCell ref="G56:H56"/>
    <mergeCell ref="I56:J56"/>
    <mergeCell ref="B53:C54"/>
    <mergeCell ref="D53:F54"/>
    <mergeCell ref="G53:J53"/>
    <mergeCell ref="B55:C55"/>
    <mergeCell ref="D55:F55"/>
    <mergeCell ref="G55:H55"/>
    <mergeCell ref="I55:J55"/>
    <mergeCell ref="D56:F56"/>
    <mergeCell ref="I57:J57"/>
    <mergeCell ref="G61:H61"/>
    <mergeCell ref="B58:C58"/>
    <mergeCell ref="D58:F58"/>
    <mergeCell ref="G58:H58"/>
    <mergeCell ref="B59:C59"/>
    <mergeCell ref="D59:F59"/>
    <mergeCell ref="G59:H59"/>
    <mergeCell ref="B60:C60"/>
    <mergeCell ref="D60:F60"/>
    <mergeCell ref="B1:N1"/>
    <mergeCell ref="M8:N8"/>
    <mergeCell ref="K8:L8"/>
    <mergeCell ref="B2:J3"/>
    <mergeCell ref="K2:L3"/>
    <mergeCell ref="M5:N5"/>
    <mergeCell ref="K4:L4"/>
    <mergeCell ref="M4:N4"/>
    <mergeCell ref="B8:J8"/>
    <mergeCell ref="B5:J5"/>
    <mergeCell ref="I63:J63"/>
    <mergeCell ref="G60:H60"/>
    <mergeCell ref="B62:C62"/>
    <mergeCell ref="D62:F62"/>
    <mergeCell ref="B63:C63"/>
    <mergeCell ref="D63:F63"/>
    <mergeCell ref="D61:F61"/>
    <mergeCell ref="B61:C61"/>
    <mergeCell ref="I65:J65"/>
    <mergeCell ref="B69:C69"/>
    <mergeCell ref="D69:F69"/>
    <mergeCell ref="G69:H69"/>
    <mergeCell ref="I69:J69"/>
    <mergeCell ref="D64:F64"/>
    <mergeCell ref="G64:H64"/>
    <mergeCell ref="G65:H65"/>
    <mergeCell ref="G67:J67"/>
    <mergeCell ref="B65:F65"/>
    <mergeCell ref="M65:N65"/>
    <mergeCell ref="K6:L6"/>
    <mergeCell ref="K63:L63"/>
    <mergeCell ref="M63:N63"/>
    <mergeCell ref="K62:L62"/>
    <mergeCell ref="M9:N9"/>
    <mergeCell ref="K60:L60"/>
    <mergeCell ref="K9:L9"/>
    <mergeCell ref="M60:N60"/>
    <mergeCell ref="K5:L5"/>
    <mergeCell ref="K57:L57"/>
    <mergeCell ref="M57:N57"/>
    <mergeCell ref="K55:L55"/>
    <mergeCell ref="B52:N52"/>
    <mergeCell ref="B56:C56"/>
    <mergeCell ref="M7:N7"/>
    <mergeCell ref="B57:C57"/>
    <mergeCell ref="D57:F57"/>
    <mergeCell ref="G57:H57"/>
    <mergeCell ref="M59:N59"/>
    <mergeCell ref="M58:N58"/>
    <mergeCell ref="K51:L51"/>
    <mergeCell ref="K50:L50"/>
    <mergeCell ref="K53:N53"/>
    <mergeCell ref="M51:N51"/>
    <mergeCell ref="M55:N55"/>
    <mergeCell ref="M50:N50"/>
    <mergeCell ref="I64:J64"/>
    <mergeCell ref="B6:J6"/>
    <mergeCell ref="B7:J7"/>
    <mergeCell ref="G63:H63"/>
    <mergeCell ref="B64:C64"/>
    <mergeCell ref="B9:J9"/>
    <mergeCell ref="I58:J58"/>
    <mergeCell ref="I59:J59"/>
    <mergeCell ref="I61:J61"/>
    <mergeCell ref="I60:J60"/>
    <mergeCell ref="M2:N3"/>
    <mergeCell ref="B4:J4"/>
    <mergeCell ref="B66:N66"/>
    <mergeCell ref="B67:C68"/>
    <mergeCell ref="D67:F68"/>
    <mergeCell ref="M6:N6"/>
    <mergeCell ref="K7:L7"/>
    <mergeCell ref="I62:J62"/>
    <mergeCell ref="G62:H62"/>
    <mergeCell ref="K59:L59"/>
    <mergeCell ref="B72:C72"/>
    <mergeCell ref="I70:J70"/>
    <mergeCell ref="G73:H73"/>
    <mergeCell ref="I73:J73"/>
    <mergeCell ref="B71:C71"/>
    <mergeCell ref="D71:F71"/>
    <mergeCell ref="B70:C70"/>
    <mergeCell ref="D70:F70"/>
    <mergeCell ref="G70:H70"/>
    <mergeCell ref="G68:H68"/>
    <mergeCell ref="I71:J71"/>
    <mergeCell ref="K70:L70"/>
    <mergeCell ref="G71:H71"/>
    <mergeCell ref="I68:J68"/>
    <mergeCell ref="K71:L71"/>
    <mergeCell ref="B78:C78"/>
    <mergeCell ref="D78:F78"/>
    <mergeCell ref="G78:H78"/>
    <mergeCell ref="D73:F73"/>
    <mergeCell ref="B75:C75"/>
    <mergeCell ref="B73:C73"/>
    <mergeCell ref="B77:C77"/>
    <mergeCell ref="G75:H75"/>
    <mergeCell ref="G77:H77"/>
    <mergeCell ref="B74:C74"/>
    <mergeCell ref="D72:F72"/>
    <mergeCell ref="D75:F75"/>
    <mergeCell ref="G74:H74"/>
    <mergeCell ref="K73:L73"/>
    <mergeCell ref="D74:F74"/>
    <mergeCell ref="G72:H72"/>
    <mergeCell ref="I72:J72"/>
    <mergeCell ref="K72:L72"/>
    <mergeCell ref="B76:C76"/>
    <mergeCell ref="D76:F76"/>
    <mergeCell ref="G76:H76"/>
    <mergeCell ref="P76:R76"/>
    <mergeCell ref="M73:N73"/>
    <mergeCell ref="P77:R77"/>
    <mergeCell ref="D77:F77"/>
    <mergeCell ref="I78:J78"/>
    <mergeCell ref="I77:J77"/>
    <mergeCell ref="K74:L74"/>
    <mergeCell ref="I76:J76"/>
    <mergeCell ref="I75:J75"/>
    <mergeCell ref="I74:J74"/>
    <mergeCell ref="K78:L78"/>
    <mergeCell ref="M78:N78"/>
    <mergeCell ref="M74:N74"/>
    <mergeCell ref="K75:L75"/>
    <mergeCell ref="M77:N77"/>
    <mergeCell ref="K76:L76"/>
    <mergeCell ref="M76:N76"/>
    <mergeCell ref="K77:L77"/>
    <mergeCell ref="M75:N75"/>
    <mergeCell ref="M72:N72"/>
    <mergeCell ref="P5:T5"/>
    <mergeCell ref="P6:R6"/>
    <mergeCell ref="P7:R7"/>
    <mergeCell ref="P8:R8"/>
    <mergeCell ref="P20:R20"/>
    <mergeCell ref="P21:R21"/>
    <mergeCell ref="P9:R9"/>
    <mergeCell ref="P19:T19"/>
    <mergeCell ref="M71:N71"/>
    <mergeCell ref="K64:L64"/>
    <mergeCell ref="M64:N64"/>
    <mergeCell ref="M70:N70"/>
    <mergeCell ref="M69:N69"/>
    <mergeCell ref="K69:L69"/>
    <mergeCell ref="K65:L65"/>
    <mergeCell ref="K68:L68"/>
    <mergeCell ref="M68:N68"/>
    <mergeCell ref="K67:N67"/>
    <mergeCell ref="P84:T84"/>
    <mergeCell ref="P85:R85"/>
    <mergeCell ref="K79:L79"/>
    <mergeCell ref="M79:N79"/>
    <mergeCell ref="B80:N80"/>
    <mergeCell ref="B79:F79"/>
    <mergeCell ref="G79:H79"/>
    <mergeCell ref="I79:J79"/>
    <mergeCell ref="B82:J82"/>
    <mergeCell ref="M85:N85"/>
    <mergeCell ref="P22:R22"/>
    <mergeCell ref="P23:R23"/>
    <mergeCell ref="M62:N62"/>
    <mergeCell ref="K61:L61"/>
    <mergeCell ref="M61:N61"/>
    <mergeCell ref="K56:L56"/>
    <mergeCell ref="M56:N56"/>
    <mergeCell ref="K58:L58"/>
    <mergeCell ref="P61:T61"/>
    <mergeCell ref="P62:R62"/>
    <mergeCell ref="P95:R95"/>
    <mergeCell ref="P96:R96"/>
    <mergeCell ref="P63:R63"/>
    <mergeCell ref="P64:R64"/>
    <mergeCell ref="P65:R65"/>
    <mergeCell ref="P75:T75"/>
    <mergeCell ref="P86:R86"/>
    <mergeCell ref="P87:R87"/>
    <mergeCell ref="P93:T93"/>
    <mergeCell ref="P88:R88"/>
    <mergeCell ref="P94:R94"/>
    <mergeCell ref="P78:R78"/>
    <mergeCell ref="P79:R79"/>
    <mergeCell ref="P131:T131"/>
    <mergeCell ref="P107:R107"/>
    <mergeCell ref="P97:R97"/>
    <mergeCell ref="P105:R105"/>
    <mergeCell ref="P106:R106"/>
    <mergeCell ref="P103:T103"/>
    <mergeCell ref="P104:R104"/>
    <mergeCell ref="P132:R132"/>
    <mergeCell ref="P133:R133"/>
    <mergeCell ref="P117:T117"/>
    <mergeCell ref="P118:R118"/>
    <mergeCell ref="P119:R119"/>
    <mergeCell ref="P120:R120"/>
    <mergeCell ref="P121:R121"/>
    <mergeCell ref="P181:R181"/>
    <mergeCell ref="P152:R152"/>
    <mergeCell ref="P153:R153"/>
    <mergeCell ref="P142:R142"/>
    <mergeCell ref="P143:R143"/>
    <mergeCell ref="P144:R144"/>
    <mergeCell ref="P149:T149"/>
    <mergeCell ref="P150:R150"/>
    <mergeCell ref="P180:R180"/>
    <mergeCell ref="P151:R151"/>
    <mergeCell ref="P177:T177"/>
    <mergeCell ref="P178:R178"/>
    <mergeCell ref="P179:R179"/>
    <mergeCell ref="P134:R134"/>
    <mergeCell ref="P135:R135"/>
    <mergeCell ref="P140:T140"/>
    <mergeCell ref="P141:R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.28125" style="317" customWidth="1"/>
    <col min="2" max="2" width="18.140625" style="317" customWidth="1"/>
    <col min="3" max="9" width="8.421875" style="317" customWidth="1"/>
    <col min="10" max="10" width="10.00390625" style="333" customWidth="1"/>
    <col min="11" max="16384" width="9.140625" style="317" customWidth="1"/>
  </cols>
  <sheetData>
    <row r="2" spans="2:10" ht="12.75">
      <c r="B2" s="663" t="s">
        <v>229</v>
      </c>
      <c r="C2" s="664" t="s">
        <v>686</v>
      </c>
      <c r="D2" s="664"/>
      <c r="E2" s="665" t="s">
        <v>718</v>
      </c>
      <c r="F2" s="665"/>
      <c r="G2" s="665"/>
      <c r="H2" s="665"/>
      <c r="I2" s="664" t="s">
        <v>718</v>
      </c>
      <c r="J2" s="664"/>
    </row>
    <row r="3" spans="2:10" ht="12.75">
      <c r="B3" s="663"/>
      <c r="C3" s="664"/>
      <c r="D3" s="664"/>
      <c r="E3" s="665" t="s">
        <v>230</v>
      </c>
      <c r="F3" s="665"/>
      <c r="G3" s="665" t="s">
        <v>231</v>
      </c>
      <c r="H3" s="665"/>
      <c r="I3" s="664"/>
      <c r="J3" s="664"/>
    </row>
    <row r="4" spans="2:10" ht="27.75" customHeight="1">
      <c r="B4" s="663"/>
      <c r="C4" s="318" t="s">
        <v>232</v>
      </c>
      <c r="D4" s="318" t="s">
        <v>229</v>
      </c>
      <c r="E4" s="318" t="s">
        <v>232</v>
      </c>
      <c r="F4" s="318" t="s">
        <v>229</v>
      </c>
      <c r="G4" s="318" t="s">
        <v>232</v>
      </c>
      <c r="H4" s="318" t="s">
        <v>229</v>
      </c>
      <c r="I4" s="318" t="s">
        <v>232</v>
      </c>
      <c r="J4" s="318" t="s">
        <v>229</v>
      </c>
    </row>
    <row r="5" spans="2:10" ht="12.75">
      <c r="B5" s="661" t="s">
        <v>38</v>
      </c>
      <c r="C5" s="661"/>
      <c r="D5" s="661"/>
      <c r="E5" s="661"/>
      <c r="F5" s="661"/>
      <c r="G5" s="661"/>
      <c r="H5" s="661"/>
      <c r="I5" s="661"/>
      <c r="J5" s="661"/>
    </row>
    <row r="6" spans="2:10" ht="12.75">
      <c r="B6" s="319" t="s">
        <v>233</v>
      </c>
      <c r="C6" s="319"/>
      <c r="D6" s="319"/>
      <c r="E6" s="319"/>
      <c r="F6" s="319"/>
      <c r="G6" s="319"/>
      <c r="H6" s="319">
        <v>0</v>
      </c>
      <c r="I6" s="320">
        <f>C6+E6-G6</f>
        <v>0</v>
      </c>
      <c r="J6" s="320">
        <f>D6+F6-H6</f>
        <v>0</v>
      </c>
    </row>
    <row r="7" spans="2:10" ht="12.75">
      <c r="B7" s="321" t="s">
        <v>98</v>
      </c>
      <c r="C7" s="320">
        <v>454</v>
      </c>
      <c r="D7" s="320">
        <v>47</v>
      </c>
      <c r="E7" s="320">
        <v>133</v>
      </c>
      <c r="F7" s="320">
        <v>13</v>
      </c>
      <c r="G7" s="320">
        <v>138</v>
      </c>
      <c r="H7" s="320">
        <v>14</v>
      </c>
      <c r="I7" s="320">
        <f aca="true" t="shared" si="0" ref="I7:I12">C7+E7-G7</f>
        <v>449</v>
      </c>
      <c r="J7" s="320">
        <f aca="true" t="shared" si="1" ref="J7:J13">D7+F7-H7</f>
        <v>46</v>
      </c>
    </row>
    <row r="8" spans="2:10" ht="12.75" customHeight="1">
      <c r="B8" s="321" t="s">
        <v>234</v>
      </c>
      <c r="C8" s="320">
        <v>297</v>
      </c>
      <c r="D8" s="320">
        <v>30</v>
      </c>
      <c r="E8" s="320">
        <v>3</v>
      </c>
      <c r="F8" s="320">
        <v>0</v>
      </c>
      <c r="G8" s="320">
        <v>4</v>
      </c>
      <c r="H8" s="320">
        <v>1</v>
      </c>
      <c r="I8" s="320">
        <f t="shared" si="0"/>
        <v>296</v>
      </c>
      <c r="J8" s="320">
        <f t="shared" si="1"/>
        <v>29</v>
      </c>
    </row>
    <row r="9" spans="2:10" ht="12.75" customHeight="1">
      <c r="B9" s="321" t="s">
        <v>240</v>
      </c>
      <c r="C9" s="320"/>
      <c r="D9" s="320"/>
      <c r="E9" s="481"/>
      <c r="F9" s="481"/>
      <c r="G9" s="320"/>
      <c r="H9" s="320"/>
      <c r="I9" s="320">
        <f t="shared" si="0"/>
        <v>0</v>
      </c>
      <c r="J9" s="320">
        <f t="shared" si="1"/>
        <v>0</v>
      </c>
    </row>
    <row r="10" spans="2:10" ht="12.75">
      <c r="B10" s="321" t="s">
        <v>91</v>
      </c>
      <c r="C10" s="320">
        <v>6963</v>
      </c>
      <c r="D10" s="320">
        <v>696</v>
      </c>
      <c r="E10" s="320">
        <v>8797</v>
      </c>
      <c r="F10" s="320">
        <v>880</v>
      </c>
      <c r="G10" s="320"/>
      <c r="H10" s="320"/>
      <c r="I10" s="320">
        <f t="shared" si="0"/>
        <v>15760</v>
      </c>
      <c r="J10" s="320">
        <f t="shared" si="1"/>
        <v>1576</v>
      </c>
    </row>
    <row r="11" spans="2:10" ht="12.75">
      <c r="B11" s="321" t="s">
        <v>649</v>
      </c>
      <c r="C11" s="320">
        <v>17</v>
      </c>
      <c r="D11" s="320">
        <v>1</v>
      </c>
      <c r="E11" s="320">
        <v>14</v>
      </c>
      <c r="F11" s="320">
        <v>1</v>
      </c>
      <c r="G11" s="320">
        <v>16</v>
      </c>
      <c r="H11" s="320">
        <v>2</v>
      </c>
      <c r="I11" s="320">
        <f t="shared" si="0"/>
        <v>15</v>
      </c>
      <c r="J11" s="320">
        <f t="shared" si="1"/>
        <v>0</v>
      </c>
    </row>
    <row r="12" spans="2:10" ht="12.75">
      <c r="B12" s="321"/>
      <c r="C12" s="320"/>
      <c r="D12" s="320"/>
      <c r="E12" s="320"/>
      <c r="F12" s="320"/>
      <c r="G12" s="320"/>
      <c r="H12" s="320"/>
      <c r="I12" s="320">
        <f t="shared" si="0"/>
        <v>0</v>
      </c>
      <c r="J12" s="320">
        <f t="shared" si="1"/>
        <v>0</v>
      </c>
    </row>
    <row r="13" spans="2:10" ht="12.75">
      <c r="B13" s="322" t="s">
        <v>235</v>
      </c>
      <c r="C13" s="323">
        <f aca="true" t="shared" si="2" ref="C13:H13">SUM(C6:C12)</f>
        <v>7731</v>
      </c>
      <c r="D13" s="323">
        <f t="shared" si="2"/>
        <v>774</v>
      </c>
      <c r="E13" s="323">
        <f t="shared" si="2"/>
        <v>8947</v>
      </c>
      <c r="F13" s="323">
        <f t="shared" si="2"/>
        <v>894</v>
      </c>
      <c r="G13" s="323">
        <f t="shared" si="2"/>
        <v>158</v>
      </c>
      <c r="H13" s="323">
        <f t="shared" si="2"/>
        <v>17</v>
      </c>
      <c r="I13" s="323">
        <f>SUM(I6:I12)</f>
        <v>16520</v>
      </c>
      <c r="J13" s="320">
        <f t="shared" si="1"/>
        <v>1651</v>
      </c>
    </row>
    <row r="14" spans="2:10" ht="12.75">
      <c r="B14" s="662" t="s">
        <v>236</v>
      </c>
      <c r="C14" s="662"/>
      <c r="D14" s="662"/>
      <c r="E14" s="662"/>
      <c r="F14" s="662"/>
      <c r="G14" s="662"/>
      <c r="H14" s="662"/>
      <c r="I14" s="662"/>
      <c r="J14" s="662"/>
    </row>
    <row r="15" spans="2:10" ht="12.75">
      <c r="B15" s="319" t="s">
        <v>237</v>
      </c>
      <c r="C15" s="324"/>
      <c r="D15" s="324"/>
      <c r="E15" s="324"/>
      <c r="F15" s="324"/>
      <c r="G15" s="324"/>
      <c r="H15" s="324"/>
      <c r="I15" s="320">
        <f aca="true" t="shared" si="3" ref="I15:J19">C15+E15+G15</f>
        <v>0</v>
      </c>
      <c r="J15" s="320">
        <f t="shared" si="3"/>
        <v>0</v>
      </c>
    </row>
    <row r="16" spans="2:10" ht="12.75">
      <c r="B16" s="325" t="s">
        <v>233</v>
      </c>
      <c r="C16" s="320">
        <v>1670</v>
      </c>
      <c r="D16" s="320">
        <v>167</v>
      </c>
      <c r="E16" s="319">
        <v>4202</v>
      </c>
      <c r="F16" s="319">
        <v>420</v>
      </c>
      <c r="G16" s="320">
        <v>4284</v>
      </c>
      <c r="H16" s="320">
        <v>428</v>
      </c>
      <c r="I16" s="320">
        <f>C16-E16+G16</f>
        <v>1752</v>
      </c>
      <c r="J16" s="320">
        <f>D16-F16+H16</f>
        <v>175</v>
      </c>
    </row>
    <row r="17" spans="2:10" ht="12.75">
      <c r="B17" s="325"/>
      <c r="C17" s="320"/>
      <c r="D17" s="320"/>
      <c r="E17" s="320"/>
      <c r="F17" s="320"/>
      <c r="G17" s="320"/>
      <c r="H17" s="320"/>
      <c r="I17" s="320">
        <f t="shared" si="3"/>
        <v>0</v>
      </c>
      <c r="J17" s="320">
        <f t="shared" si="3"/>
        <v>0</v>
      </c>
    </row>
    <row r="18" spans="2:10" ht="12.75">
      <c r="B18" s="325"/>
      <c r="C18" s="320"/>
      <c r="D18" s="320"/>
      <c r="E18" s="320"/>
      <c r="F18" s="320"/>
      <c r="G18" s="320"/>
      <c r="H18" s="320"/>
      <c r="I18" s="320"/>
      <c r="J18" s="320"/>
    </row>
    <row r="19" spans="2:10" ht="12.75">
      <c r="B19" s="326"/>
      <c r="C19" s="327"/>
      <c r="D19" s="327"/>
      <c r="E19" s="327"/>
      <c r="F19" s="327"/>
      <c r="G19" s="327"/>
      <c r="H19" s="327"/>
      <c r="I19" s="320">
        <f t="shared" si="3"/>
        <v>0</v>
      </c>
      <c r="J19" s="320">
        <f t="shared" si="3"/>
        <v>0</v>
      </c>
    </row>
    <row r="20" spans="2:10" ht="12.75">
      <c r="B20" s="328" t="s">
        <v>238</v>
      </c>
      <c r="C20" s="329">
        <f>SUM(C15:C19)</f>
        <v>1670</v>
      </c>
      <c r="D20" s="329">
        <f aca="true" t="shared" si="4" ref="D20:I20">SUM(D15:D19)</f>
        <v>167</v>
      </c>
      <c r="E20" s="329">
        <f t="shared" si="4"/>
        <v>4202</v>
      </c>
      <c r="F20" s="329">
        <f t="shared" si="4"/>
        <v>420</v>
      </c>
      <c r="G20" s="329">
        <f t="shared" si="4"/>
        <v>4284</v>
      </c>
      <c r="H20" s="329">
        <f t="shared" si="4"/>
        <v>428</v>
      </c>
      <c r="I20" s="329">
        <f t="shared" si="4"/>
        <v>1752</v>
      </c>
      <c r="J20" s="329">
        <f>SUM(J15:J19)</f>
        <v>175</v>
      </c>
    </row>
    <row r="21" spans="2:10" ht="12.75" customHeight="1">
      <c r="B21" s="330" t="s">
        <v>239</v>
      </c>
      <c r="C21" s="331">
        <f aca="true" t="shared" si="5" ref="C21:J21">C13-C20</f>
        <v>6061</v>
      </c>
      <c r="D21" s="331">
        <f t="shared" si="5"/>
        <v>607</v>
      </c>
      <c r="E21" s="331">
        <f t="shared" si="5"/>
        <v>4745</v>
      </c>
      <c r="F21" s="331">
        <f t="shared" si="5"/>
        <v>474</v>
      </c>
      <c r="G21" s="331">
        <f t="shared" si="5"/>
        <v>-4126</v>
      </c>
      <c r="H21" s="331">
        <f t="shared" si="5"/>
        <v>-411</v>
      </c>
      <c r="I21" s="331">
        <f t="shared" si="5"/>
        <v>14768</v>
      </c>
      <c r="J21" s="331">
        <f t="shared" si="5"/>
        <v>1476</v>
      </c>
    </row>
    <row r="23" ht="12.75">
      <c r="C23" s="332"/>
    </row>
  </sheetData>
  <sheetProtection/>
  <mergeCells count="8">
    <mergeCell ref="B5:J5"/>
    <mergeCell ref="B14:J14"/>
    <mergeCell ref="B2:B4"/>
    <mergeCell ref="C2:D3"/>
    <mergeCell ref="E2:H2"/>
    <mergeCell ref="I2:J3"/>
    <mergeCell ref="E3:F3"/>
    <mergeCell ref="G3:H3"/>
  </mergeCells>
  <printOptions/>
  <pageMargins left="0.551181102362204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7">
      <selection activeCell="D53" sqref="D53"/>
    </sheetView>
  </sheetViews>
  <sheetFormatPr defaultColWidth="9.140625" defaultRowHeight="12.75"/>
  <cols>
    <col min="1" max="1" width="5.7109375" style="317" customWidth="1"/>
    <col min="2" max="3" width="20.140625" style="317" customWidth="1"/>
    <col min="4" max="5" width="12.140625" style="317" customWidth="1"/>
    <col min="6" max="16384" width="9.140625" style="317" customWidth="1"/>
  </cols>
  <sheetData>
    <row r="1" spans="2:5" ht="15">
      <c r="B1" s="636" t="s">
        <v>599</v>
      </c>
      <c r="C1" s="636"/>
      <c r="D1" s="636"/>
      <c r="E1" s="636"/>
    </row>
    <row r="2" spans="2:5" ht="15">
      <c r="B2" s="672" t="s">
        <v>227</v>
      </c>
      <c r="C2" s="673"/>
      <c r="D2" s="104" t="s">
        <v>740</v>
      </c>
      <c r="E2" s="104" t="s">
        <v>717</v>
      </c>
    </row>
    <row r="3" spans="2:5" ht="12.75">
      <c r="B3" s="670" t="s">
        <v>259</v>
      </c>
      <c r="C3" s="671"/>
      <c r="D3" s="363">
        <f>SUM(D4:D7)</f>
        <v>0</v>
      </c>
      <c r="E3" s="363">
        <f>SUM(E4:E7)</f>
        <v>0</v>
      </c>
    </row>
    <row r="4" spans="2:5" ht="12.75">
      <c r="B4" s="651" t="s">
        <v>246</v>
      </c>
      <c r="C4" s="653"/>
      <c r="D4" s="360"/>
      <c r="E4" s="360"/>
    </row>
    <row r="5" spans="2:5" ht="12.75">
      <c r="B5" s="651" t="s">
        <v>258</v>
      </c>
      <c r="C5" s="653"/>
      <c r="D5" s="360"/>
      <c r="E5" s="360"/>
    </row>
    <row r="6" spans="2:5" ht="12.75">
      <c r="B6" s="651" t="s">
        <v>260</v>
      </c>
      <c r="C6" s="653"/>
      <c r="D6" s="483"/>
      <c r="E6" s="483"/>
    </row>
    <row r="7" spans="2:5" ht="12.75">
      <c r="B7" s="651" t="s">
        <v>270</v>
      </c>
      <c r="C7" s="653"/>
      <c r="D7" s="360"/>
      <c r="E7" s="360"/>
    </row>
    <row r="8" spans="2:5" ht="12.75">
      <c r="B8" s="670" t="s">
        <v>264</v>
      </c>
      <c r="C8" s="671"/>
      <c r="D8" s="363">
        <f>SUM(D9:D10)</f>
        <v>0</v>
      </c>
      <c r="E8" s="363">
        <f>SUM(E9:E10)</f>
        <v>0</v>
      </c>
    </row>
    <row r="9" spans="2:5" ht="12.75">
      <c r="B9" s="651" t="s">
        <v>249</v>
      </c>
      <c r="C9" s="653"/>
      <c r="D9" s="365"/>
      <c r="E9" s="365"/>
    </row>
    <row r="10" spans="2:5" ht="12.75">
      <c r="B10" s="651" t="s">
        <v>271</v>
      </c>
      <c r="C10" s="653"/>
      <c r="D10" s="365"/>
      <c r="E10" s="365"/>
    </row>
    <row r="11" spans="2:5" ht="12.75">
      <c r="B11" s="670" t="s">
        <v>262</v>
      </c>
      <c r="C11" s="671"/>
      <c r="D11" s="364">
        <f>SUM(D12:D13)</f>
        <v>0</v>
      </c>
      <c r="E11" s="364">
        <f>SUM(E12:E13)</f>
        <v>0</v>
      </c>
    </row>
    <row r="12" spans="2:5" ht="12.75">
      <c r="B12" s="651" t="s">
        <v>258</v>
      </c>
      <c r="C12" s="653"/>
      <c r="D12" s="365"/>
      <c r="E12" s="365"/>
    </row>
    <row r="13" spans="2:5" ht="12.75">
      <c r="B13" s="651" t="s">
        <v>272</v>
      </c>
      <c r="C13" s="653"/>
      <c r="D13" s="365"/>
      <c r="E13" s="365"/>
    </row>
    <row r="14" spans="2:5" ht="12.75">
      <c r="B14" s="670" t="s">
        <v>267</v>
      </c>
      <c r="C14" s="671"/>
      <c r="D14" s="364">
        <f>SUM(D15:D20)</f>
        <v>6024</v>
      </c>
      <c r="E14" s="364">
        <f>SUM(E15:E20)</f>
        <v>7404</v>
      </c>
    </row>
    <row r="15" spans="2:5" ht="12.75">
      <c r="B15" s="651" t="s">
        <v>266</v>
      </c>
      <c r="C15" s="653"/>
      <c r="D15" s="365"/>
      <c r="E15" s="365"/>
    </row>
    <row r="16" spans="2:5" ht="12.75">
      <c r="B16" s="666" t="s">
        <v>279</v>
      </c>
      <c r="C16" s="667"/>
      <c r="D16" s="365"/>
      <c r="E16" s="365"/>
    </row>
    <row r="17" spans="2:11" ht="12.75">
      <c r="B17" s="651" t="s">
        <v>263</v>
      </c>
      <c r="C17" s="653"/>
      <c r="D17" s="365">
        <v>6024</v>
      </c>
      <c r="E17" s="365">
        <v>7404</v>
      </c>
      <c r="G17" s="582">
        <f>IF(AND(J18="",J20=""),"","Разлика между БАЛАНСА и ПРИЛОЖЕНИЕТО!")</f>
      </c>
      <c r="H17" s="582"/>
      <c r="I17" s="582"/>
      <c r="J17" s="582"/>
      <c r="K17" s="582"/>
    </row>
    <row r="18" spans="2:11" ht="12.75">
      <c r="B18" s="651" t="s">
        <v>355</v>
      </c>
      <c r="C18" s="653"/>
      <c r="D18" s="365"/>
      <c r="E18" s="365"/>
      <c r="G18" s="583">
        <f>IF(J18="","","Разлика текущ период:")</f>
      </c>
      <c r="H18" s="583"/>
      <c r="I18" s="583"/>
      <c r="J18" s="427">
        <f>IF(D21=баланс!E11,"",D21-баланс!E11)</f>
      </c>
      <c r="K18" s="426"/>
    </row>
    <row r="19" spans="2:11" ht="12.75">
      <c r="B19" s="651" t="s">
        <v>355</v>
      </c>
      <c r="C19" s="653"/>
      <c r="D19" s="365"/>
      <c r="E19" s="365"/>
      <c r="G19" s="584">
        <f>IF(J18="","","Сума по баланс:")</f>
      </c>
      <c r="H19" s="584"/>
      <c r="I19" s="584"/>
      <c r="J19" s="428">
        <f>IF(J18="","",баланс!E11)</f>
      </c>
      <c r="K19" s="426"/>
    </row>
    <row r="20" spans="2:11" ht="12.75">
      <c r="B20" s="651" t="s">
        <v>273</v>
      </c>
      <c r="C20" s="653"/>
      <c r="D20" s="365"/>
      <c r="E20" s="365"/>
      <c r="G20" s="583">
        <f>IF(J20="","","Разлика предходен период:")</f>
      </c>
      <c r="H20" s="583"/>
      <c r="I20" s="583"/>
      <c r="J20" s="427">
        <f>IF(E21=баланс!G11,"",E21-баланс!G11)</f>
      </c>
      <c r="K20" s="426"/>
    </row>
    <row r="21" spans="2:11" ht="12.75">
      <c r="B21" s="654" t="s">
        <v>85</v>
      </c>
      <c r="C21" s="656"/>
      <c r="D21" s="331">
        <f>D3+D8+D11+D14</f>
        <v>6024</v>
      </c>
      <c r="E21" s="331">
        <f>E3+E8+E11+E14</f>
        <v>7404</v>
      </c>
      <c r="G21" s="584">
        <f>IF(J20="","","Сума по баланс:")</f>
      </c>
      <c r="H21" s="584"/>
      <c r="I21" s="584"/>
      <c r="J21" s="428">
        <f>IF(J20="","",баланс!G11)</f>
      </c>
      <c r="K21" s="426"/>
    </row>
    <row r="22" spans="2:5" ht="15">
      <c r="B22" s="636" t="s">
        <v>600</v>
      </c>
      <c r="C22" s="636"/>
      <c r="D22" s="636"/>
      <c r="E22" s="636"/>
    </row>
    <row r="23" spans="2:5" ht="12.75">
      <c r="B23" s="672" t="s">
        <v>227</v>
      </c>
      <c r="C23" s="673"/>
      <c r="D23" s="362" t="str">
        <f>D2</f>
        <v>31.12.2016г.</v>
      </c>
      <c r="E23" s="362" t="str">
        <f>E2</f>
        <v>31.12.2015г.</v>
      </c>
    </row>
    <row r="24" spans="2:5" ht="12.75">
      <c r="B24" s="670" t="s">
        <v>259</v>
      </c>
      <c r="C24" s="671"/>
      <c r="D24" s="364">
        <f>SUM(D25:D29)</f>
        <v>0</v>
      </c>
      <c r="E24" s="364">
        <f>SUM(E25:E29)</f>
        <v>0</v>
      </c>
    </row>
    <row r="25" spans="2:5" ht="12.75">
      <c r="B25" s="651" t="s">
        <v>246</v>
      </c>
      <c r="C25" s="653"/>
      <c r="D25" s="365"/>
      <c r="E25" s="365"/>
    </row>
    <row r="26" spans="2:5" ht="12.75">
      <c r="B26" s="651" t="s">
        <v>258</v>
      </c>
      <c r="C26" s="653"/>
      <c r="D26" s="365"/>
      <c r="E26" s="365"/>
    </row>
    <row r="27" spans="2:5" ht="12.75">
      <c r="B27" s="651" t="s">
        <v>248</v>
      </c>
      <c r="C27" s="653"/>
      <c r="D27" s="365"/>
      <c r="E27" s="365"/>
    </row>
    <row r="28" spans="2:5" ht="12.75">
      <c r="B28" s="651" t="s">
        <v>260</v>
      </c>
      <c r="C28" s="653"/>
      <c r="D28" s="365"/>
      <c r="E28" s="365"/>
    </row>
    <row r="29" spans="2:5" ht="12.75">
      <c r="B29" s="651" t="s">
        <v>270</v>
      </c>
      <c r="C29" s="653"/>
      <c r="D29" s="360"/>
      <c r="E29" s="360"/>
    </row>
    <row r="30" spans="2:5" ht="12.75">
      <c r="B30" s="670" t="s">
        <v>264</v>
      </c>
      <c r="C30" s="671"/>
      <c r="D30" s="364">
        <f>SUM(D31:D32)</f>
        <v>14090</v>
      </c>
      <c r="E30" s="364">
        <f>SUM(E31:E32)</f>
        <v>25728</v>
      </c>
    </row>
    <row r="31" spans="2:5" ht="12.75">
      <c r="B31" s="651" t="s">
        <v>249</v>
      </c>
      <c r="C31" s="653"/>
      <c r="D31" s="365">
        <v>14545</v>
      </c>
      <c r="E31" s="365">
        <v>26183</v>
      </c>
    </row>
    <row r="32" spans="2:5" ht="12.75">
      <c r="B32" s="651" t="s">
        <v>271</v>
      </c>
      <c r="C32" s="653"/>
      <c r="D32" s="365">
        <v>-455</v>
      </c>
      <c r="E32" s="365">
        <v>-455</v>
      </c>
    </row>
    <row r="33" spans="2:5" ht="12.75">
      <c r="B33" s="670" t="s">
        <v>262</v>
      </c>
      <c r="C33" s="671"/>
      <c r="D33" s="364">
        <f>SUM(D34:D35)</f>
        <v>0</v>
      </c>
      <c r="E33" s="364">
        <f>SUM(E34:E35)</f>
        <v>0</v>
      </c>
    </row>
    <row r="34" spans="2:5" ht="12.75">
      <c r="B34" s="651" t="s">
        <v>258</v>
      </c>
      <c r="C34" s="653"/>
      <c r="D34" s="365"/>
      <c r="E34" s="365"/>
    </row>
    <row r="35" spans="2:5" ht="12.75">
      <c r="B35" s="651" t="s">
        <v>272</v>
      </c>
      <c r="C35" s="653"/>
      <c r="D35" s="360"/>
      <c r="E35" s="360"/>
    </row>
    <row r="36" spans="2:5" ht="12.75">
      <c r="B36" s="670" t="s">
        <v>275</v>
      </c>
      <c r="C36" s="671"/>
      <c r="D36" s="363"/>
      <c r="E36" s="363"/>
    </row>
    <row r="37" spans="2:5" ht="12.75">
      <c r="B37" s="651" t="s">
        <v>248</v>
      </c>
      <c r="C37" s="653"/>
      <c r="D37" s="360"/>
      <c r="E37" s="360"/>
    </row>
    <row r="38" spans="2:5" ht="12.75">
      <c r="B38" s="651" t="s">
        <v>276</v>
      </c>
      <c r="C38" s="653"/>
      <c r="D38" s="360"/>
      <c r="E38" s="360"/>
    </row>
    <row r="39" spans="2:5" ht="12.75">
      <c r="B39" s="670" t="s">
        <v>277</v>
      </c>
      <c r="C39" s="671"/>
      <c r="D39" s="363">
        <f>SUM(D40:D41)</f>
        <v>0</v>
      </c>
      <c r="E39" s="363">
        <f>SUM(E40:E41)</f>
        <v>0</v>
      </c>
    </row>
    <row r="40" spans="2:5" ht="12.75">
      <c r="B40" s="666" t="s">
        <v>269</v>
      </c>
      <c r="C40" s="667"/>
      <c r="D40" s="360"/>
      <c r="E40" s="360"/>
    </row>
    <row r="41" spans="2:5" ht="12.75">
      <c r="B41" s="651" t="s">
        <v>278</v>
      </c>
      <c r="C41" s="653"/>
      <c r="D41" s="360"/>
      <c r="E41" s="360"/>
    </row>
    <row r="42" spans="2:5" ht="12.75">
      <c r="B42" s="668" t="s">
        <v>251</v>
      </c>
      <c r="C42" s="669"/>
      <c r="D42" s="364">
        <f>SUM(D43:D45)</f>
        <v>0</v>
      </c>
      <c r="E42" s="364">
        <f>SUM(E43:E45)</f>
        <v>0</v>
      </c>
    </row>
    <row r="43" spans="2:5" ht="12.75">
      <c r="B43" s="666" t="s">
        <v>252</v>
      </c>
      <c r="C43" s="667"/>
      <c r="D43" s="365"/>
      <c r="E43" s="365"/>
    </row>
    <row r="44" spans="2:5" ht="12.75">
      <c r="B44" s="666" t="s">
        <v>253</v>
      </c>
      <c r="C44" s="667"/>
      <c r="D44" s="365"/>
      <c r="E44" s="365"/>
    </row>
    <row r="45" spans="2:5" ht="12.75">
      <c r="B45" s="666" t="s">
        <v>37</v>
      </c>
      <c r="C45" s="667"/>
      <c r="D45" s="365"/>
      <c r="E45" s="365"/>
    </row>
    <row r="46" spans="2:5" ht="12.75">
      <c r="B46" s="668" t="s">
        <v>265</v>
      </c>
      <c r="C46" s="669"/>
      <c r="D46" s="364">
        <f>SUM(D47:D55)</f>
        <v>9807</v>
      </c>
      <c r="E46" s="364">
        <f>SUM(E47:E55)</f>
        <v>1438</v>
      </c>
    </row>
    <row r="47" spans="2:5" ht="12.75">
      <c r="B47" s="666" t="s">
        <v>256</v>
      </c>
      <c r="C47" s="667"/>
      <c r="D47" s="365"/>
      <c r="E47" s="365"/>
    </row>
    <row r="48" spans="2:5" ht="12.75">
      <c r="B48" s="666" t="s">
        <v>257</v>
      </c>
      <c r="C48" s="667"/>
      <c r="D48" s="365"/>
      <c r="E48" s="365"/>
    </row>
    <row r="49" spans="2:5" ht="12.75">
      <c r="B49" s="666" t="s">
        <v>269</v>
      </c>
      <c r="C49" s="667"/>
      <c r="D49" s="365">
        <v>8859</v>
      </c>
      <c r="E49" s="365">
        <v>341</v>
      </c>
    </row>
    <row r="50" spans="2:5" ht="12.75">
      <c r="B50" s="666" t="s">
        <v>279</v>
      </c>
      <c r="C50" s="667"/>
      <c r="D50" s="365"/>
      <c r="E50" s="365"/>
    </row>
    <row r="51" spans="2:5" ht="12.75">
      <c r="B51" s="666" t="s">
        <v>280</v>
      </c>
      <c r="C51" s="667"/>
      <c r="D51" s="365"/>
      <c r="E51" s="365"/>
    </row>
    <row r="52" spans="2:11" ht="12.75">
      <c r="B52" s="666" t="s">
        <v>268</v>
      </c>
      <c r="C52" s="667"/>
      <c r="D52" s="365">
        <v>948</v>
      </c>
      <c r="E52" s="365">
        <v>1097</v>
      </c>
      <c r="G52" s="582"/>
      <c r="H52" s="582"/>
      <c r="I52" s="582"/>
      <c r="J52" s="582"/>
      <c r="K52" s="582"/>
    </row>
    <row r="53" spans="2:11" ht="12.75">
      <c r="B53" s="666" t="s">
        <v>617</v>
      </c>
      <c r="C53" s="667"/>
      <c r="D53" s="365"/>
      <c r="E53" s="365"/>
      <c r="G53" s="583"/>
      <c r="H53" s="583"/>
      <c r="I53" s="583"/>
      <c r="J53" s="427"/>
      <c r="K53" s="426"/>
    </row>
    <row r="54" spans="2:11" ht="12.75">
      <c r="B54" s="666" t="s">
        <v>618</v>
      </c>
      <c r="C54" s="667"/>
      <c r="D54" s="365"/>
      <c r="E54" s="365"/>
      <c r="G54" s="584"/>
      <c r="H54" s="584"/>
      <c r="I54" s="584"/>
      <c r="J54" s="428"/>
      <c r="K54" s="426"/>
    </row>
    <row r="55" spans="2:11" ht="12.75">
      <c r="B55" s="651" t="s">
        <v>273</v>
      </c>
      <c r="C55" s="653"/>
      <c r="D55" s="365"/>
      <c r="E55" s="365"/>
      <c r="G55" s="583"/>
      <c r="H55" s="583"/>
      <c r="I55" s="583"/>
      <c r="J55" s="427"/>
      <c r="K55" s="426"/>
    </row>
    <row r="56" spans="2:11" ht="12.75">
      <c r="B56" s="654" t="s">
        <v>85</v>
      </c>
      <c r="C56" s="656"/>
      <c r="D56" s="331">
        <f>D24+D30+D33+D36+D39+D42+D46</f>
        <v>23897</v>
      </c>
      <c r="E56" s="331">
        <f>E24+E30+E33+E36+E39+E42+E46</f>
        <v>27166</v>
      </c>
      <c r="G56" s="584"/>
      <c r="H56" s="584"/>
      <c r="I56" s="584"/>
      <c r="J56" s="428"/>
      <c r="K56" s="426"/>
    </row>
  </sheetData>
  <sheetProtection/>
  <mergeCells count="66">
    <mergeCell ref="B42:C42"/>
    <mergeCell ref="B1:E1"/>
    <mergeCell ref="B2:C2"/>
    <mergeCell ref="B3:C3"/>
    <mergeCell ref="B4:C4"/>
    <mergeCell ref="B33:C33"/>
    <mergeCell ref="B34:C34"/>
    <mergeCell ref="B30:C30"/>
    <mergeCell ref="B20:C20"/>
    <mergeCell ref="B21:C21"/>
    <mergeCell ref="G20:I20"/>
    <mergeCell ref="G21:I21"/>
    <mergeCell ref="B18:C18"/>
    <mergeCell ref="B56:C56"/>
    <mergeCell ref="B43:C43"/>
    <mergeCell ref="B44:C44"/>
    <mergeCell ref="B45:C45"/>
    <mergeCell ref="B55:C55"/>
    <mergeCell ref="B40:C40"/>
    <mergeCell ref="B53:C53"/>
    <mergeCell ref="G17:K17"/>
    <mergeCell ref="B10:C10"/>
    <mergeCell ref="G18:I18"/>
    <mergeCell ref="G19:I19"/>
    <mergeCell ref="B14:C14"/>
    <mergeCell ref="B15:C15"/>
    <mergeCell ref="B17:C17"/>
    <mergeCell ref="B16:C16"/>
    <mergeCell ref="B26:C26"/>
    <mergeCell ref="B38:C38"/>
    <mergeCell ref="B19:C19"/>
    <mergeCell ref="B29:C29"/>
    <mergeCell ref="B36:C36"/>
    <mergeCell ref="B37:C37"/>
    <mergeCell ref="B22:E22"/>
    <mergeCell ref="B23:C23"/>
    <mergeCell ref="B24:C24"/>
    <mergeCell ref="B25:C25"/>
    <mergeCell ref="B5:C5"/>
    <mergeCell ref="B11:C11"/>
    <mergeCell ref="B12:C12"/>
    <mergeCell ref="B13:C13"/>
    <mergeCell ref="B6:C6"/>
    <mergeCell ref="B8:C8"/>
    <mergeCell ref="B9:C9"/>
    <mergeCell ref="B7:C7"/>
    <mergeCell ref="B46:C46"/>
    <mergeCell ref="B27:C27"/>
    <mergeCell ref="B50:C50"/>
    <mergeCell ref="B35:C35"/>
    <mergeCell ref="B39:C39"/>
    <mergeCell ref="B28:C28"/>
    <mergeCell ref="B41:C41"/>
    <mergeCell ref="B32:C32"/>
    <mergeCell ref="B31:C31"/>
    <mergeCell ref="B47:C47"/>
    <mergeCell ref="B48:C48"/>
    <mergeCell ref="B51:C51"/>
    <mergeCell ref="B49:C49"/>
    <mergeCell ref="G56:I56"/>
    <mergeCell ref="G52:K52"/>
    <mergeCell ref="G53:I53"/>
    <mergeCell ref="G54:I54"/>
    <mergeCell ref="G55:I55"/>
    <mergeCell ref="B54:C54"/>
    <mergeCell ref="B52:C52"/>
  </mergeCells>
  <dataValidations count="2">
    <dataValidation allowBlank="1" showErrorMessage="1" prompt="&#10;" sqref="D39:E39 D14:E14 D8:E8 D36:E36 D11:E11 D33:E33"/>
    <dataValidation allowBlank="1" showInputMessage="1" showErrorMessage="1" promptTitle="&quot;Биекс Одит&quot; ООД:" prompt="Въведи числото със знак минус &quot;-&quot;!&#10;" sqref="D38:E38 D29:E29 D7:E7 D20:E20 D10:E10 D13:E13 D35:E35 D41:E41 D32:E32"/>
  </dataValidations>
  <printOptions/>
  <pageMargins left="0.7480314960629921" right="0.7480314960629921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Berta S. Tsankova</cp:lastModifiedBy>
  <cp:lastPrinted>2017-01-28T07:58:39Z</cp:lastPrinted>
  <dcterms:created xsi:type="dcterms:W3CDTF">2003-02-07T14:36:34Z</dcterms:created>
  <dcterms:modified xsi:type="dcterms:W3CDTF">2017-01-28T08:06:38Z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-1494617224</vt:i4>
  </property>
  <property fmtid="{D5CDD505-2E9C-101B-9397-08002B2CF9AE}" pid="3" name="_EmailSubject">
    <vt:lpwstr>Изпращане на e-mail: 2_MEJDINEN_DOKLAD_ZA_DEINOSTA_31122016.doc</vt:lpwstr>
  </property>
  <property fmtid="{D5CDD505-2E9C-101B-9397-08002B2CF9AE}" pid="4" name="_AuthorEmail">
    <vt:lpwstr>burdjeva@toplo-pleven.com</vt:lpwstr>
  </property>
  <property fmtid="{D5CDD505-2E9C-101B-9397-08002B2CF9AE}" pid="5" name="_AuthorEmailDisplayName">
    <vt:lpwstr>Ivanka Burdjeva</vt:lpwstr>
  </property>
  <property fmtid="{D5CDD505-2E9C-101B-9397-08002B2CF9AE}" pid="6" name="_ReviewingToolsShownOnce">
    <vt:lpwstr/>
  </property>
</Properties>
</file>