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30" windowHeight="11700" tabRatio="573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<sst xmlns="http://schemas.openxmlformats.org/spreadsheetml/2006/main" count="1059" uniqueCount="871">
  <si>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</si>
  <si>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</si>
  <si>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</si>
  <si>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</si>
  <si>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</si>
  <si>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</si>
  <si>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</si>
  <si>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</si>
  <si>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</si>
  <si>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</si>
  <si>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</si>
  <si>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</si>
  <si>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</si>
  <si>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</si>
  <si>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</si>
  <si>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</si>
  <si>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</si>
  <si>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</si>
  <si>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</si>
  <si>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</si>
  <si>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</si>
  <si>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</si>
  <si>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</si>
  <si>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</si>
  <si>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</si>
  <si>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</si>
  <si>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</si>
  <si>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</si>
  <si>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</si>
  <si>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</si>
  <si>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</si>
  <si>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</si>
  <si>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</si>
  <si>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</si>
  <si>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</si>
  <si>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</si>
  <si>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</si>
  <si>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</si>
  <si>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</si>
  <si>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</si>
  <si>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</si>
  <si>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</si>
  <si>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</si>
  <si>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</si>
  <si>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</si>
  <si>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</si>
  <si>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</si>
  <si>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</si>
  <si>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</si>
  <si>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</si>
  <si>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</si>
  <si>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</si>
  <si>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</si>
  <si>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</si>
  <si>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</si>
  <si>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</si>
  <si>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</si>
  <si>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</si>
  <si>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</si>
  <si>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</si>
  <si>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</si>
  <si>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</si>
  <si>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</si>
  <si>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</si>
  <si>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</si>
  <si>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</si>
  <si>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</si>
  <si>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</si>
  <si>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</si>
  <si>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</si>
  <si>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</si>
  <si>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</si>
  <si>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</si>
  <si>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</si>
  <si>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</si>
  <si>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</si>
  <si>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</si>
  <si>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</si>
  <si>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</si>
  <si>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</si>
  <si>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</si>
  <si>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</si>
  <si>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</si>
  <si>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</si>
  <si>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</si>
  <si>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</si>
  <si>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</si>
  <si>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</si>
  <si>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</si>
  <si>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</si>
  <si>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</si>
  <si>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</si>
  <si>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</si>
  <si>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</si>
  <si>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</si>
  <si>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</si>
  <si>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</si>
  <si>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</si>
  <si>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</si>
  <si>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</si>
  <si>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</si>
  <si>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</si>
  <si>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</si>
  <si>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</si>
  <si>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</si>
  <si>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</si>
  <si>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</si>
  <si>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</si>
  <si>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</si>
  <si>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</si>
  <si>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</si>
  <si>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</si>
  <si>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</si>
  <si>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</si>
  <si>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</si>
  <si>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</si>
  <si>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</si>
  <si>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</si>
  <si>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</si>
  <si>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</si>
  <si>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</si>
  <si>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</si>
  <si>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</si>
  <si>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</si>
  <si>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</si>
  <si>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</si>
  <si>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</si>
  <si>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</si>
  <si>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</si>
  <si>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</si>
  <si>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</si>
  <si>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</si>
  <si>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</si>
  <si>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</si>
  <si>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</si>
  <si>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</si>
  <si>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</si>
  <si>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</si>
  <si>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</si>
  <si>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</si>
  <si>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</si>
  <si>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</si>
  <si>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</si>
  <si>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</si>
  <si>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</si>
  <si>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</si>
  <si>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</si>
  <si>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</si>
  <si>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</si>
  <si>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</si>
  <si>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</si>
  <si>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</si>
  <si>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</si>
  <si>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</si>
  <si>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</si>
  <si>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</si>
  <si>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</si>
  <si>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</si>
  <si>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</si>
  <si>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</si>
  <si>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</si>
  <si>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</si>
  <si>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</si>
  <si>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</si>
  <si>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</si>
  <si>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</si>
  <si>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</si>
  <si>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</si>
  <si>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</si>
  <si>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</si>
  <si>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</si>
  <si>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</si>
  <si>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</si>
  <si>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</si>
  <si>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</si>
  <si>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</si>
  <si>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</si>
  <si>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</si>
  <si>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</si>
  <si>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</si>
  <si>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</si>
  <si>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</si>
  <si>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</si>
  <si>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</si>
  <si>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</si>
  <si>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</si>
  <si>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</si>
  <si>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</si>
  <si>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</si>
  <si>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</si>
  <si>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</si>
  <si>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</si>
  <si>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</si>
  <si>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</si>
  <si>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</si>
  <si>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</si>
  <si>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</si>
  <si>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</si>
  <si>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</si>
  <si>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</si>
  <si>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</si>
  <si>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</si>
  <si>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</si>
  <si>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</si>
  <si>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</si>
  <si>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</si>
  <si>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</si>
  <si>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</si>
  <si>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</si>
  <si>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</si>
  <si>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</si>
  <si>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</si>
  <si>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</si>
  <si>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</si>
  <si>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</si>
  <si>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</si>
  <si>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</si>
  <si>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</si>
  <si>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</si>
  <si>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</si>
  <si>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</si>
  <si>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</si>
  <si>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</si>
  <si>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</si>
  <si>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</si>
  <si>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</si>
  <si>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</si>
  <si>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</si>
  <si>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</si>
  <si>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</si>
  <si>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</si>
  <si>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</si>
  <si>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</si>
  <si>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</si>
  <si>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</si>
  <si>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</si>
  <si>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</si>
  <si>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</si>
  <si>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</si>
  <si>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</si>
  <si>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</si>
  <si>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</si>
  <si>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</si>
  <si>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</si>
  <si>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</si>
  <si>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</si>
  <si>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</si>
  <si>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</si>
  <si>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</si>
  <si>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</si>
  <si>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</si>
  <si>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</si>
  <si>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</si>
  <si>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</si>
  <si>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</si>
  <si>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</si>
  <si>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</si>
  <si>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</si>
  <si>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</si>
  <si>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</si>
  <si>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</si>
  <si>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</si>
  <si>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</si>
  <si>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</si>
  <si>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</si>
  <si>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</si>
  <si>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</si>
  <si>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</si>
  <si>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</si>
  <si>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</si>
  <si>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</si>
  <si>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</si>
  <si>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</si>
  <si>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</si>
  <si>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</si>
  <si>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</si>
  <si>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</si>
  <si>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</si>
  <si>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</si>
  <si>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</si>
  <si>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</si>
  <si>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</si>
  <si>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</si>
  <si>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</si>
  <si>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</si>
  <si>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</si>
  <si>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</si>
  <si>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</si>
  <si>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</si>
  <si>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</si>
  <si>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</si>
  <si>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</si>
  <si>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</si>
  <si>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</si>
  <si>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</si>
  <si>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</si>
  <si>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</si>
  <si>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</si>
  <si>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</si>
  <si>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</si>
  <si>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</si>
  <si>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</si>
  <si>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</si>
  <si>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</si>
  <si>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</si>
  <si>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</si>
  <si>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</si>
  <si>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</si>
  <si>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</si>
  <si>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</si>
  <si>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</si>
  <si>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</si>
  <si>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</si>
  <si>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</si>
  <si>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</si>
  <si>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</si>
  <si>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</si>
  <si>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</si>
  <si>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</si>
  <si>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</si>
  <si>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</si>
  <si>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</si>
  <si>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</si>
  <si>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</si>
  <si>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</si>
  <si>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</si>
  <si>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</si>
  <si>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</si>
  <si>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</si>
  <si>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</si>
  <si>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</si>
  <si>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</si>
  <si>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</si>
  <si>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</si>
  <si>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</si>
  <si>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</si>
  <si>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</si>
  <si>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</si>
  <si>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</si>
  <si>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</si>
  <si>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</si>
  <si>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</si>
  <si>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</si>
  <si>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</si>
  <si>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</si>
  <si>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</si>
  <si>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</si>
  <si>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</si>
  <si>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</si>
  <si>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</si>
  <si>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</si>
  <si>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</si>
  <si>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</si>
  <si>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</si>
  <si>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</si>
  <si>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</si>
  <si>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</si>
  <si>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</si>
  <si>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</si>
  <si>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</si>
  <si>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</si>
  <si>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</si>
  <si>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</si>
  <si>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</si>
  <si>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</si>
  <si>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</si>
  <si>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</si>
  <si>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</si>
  <si>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</si>
  <si>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</si>
  <si>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</si>
  <si>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</si>
  <si>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</si>
  <si>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</si>
  <si>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</si>
  <si>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</si>
  <si>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</si>
  <si>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</si>
  <si>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</si>
  <si>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</si>
  <si>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</si>
  <si>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</si>
  <si>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</si>
  <si>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</si>
  <si>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</si>
  <si>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</si>
  <si>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</si>
  <si>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</si>
  <si>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</si>
  <si>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</si>
  <si>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</si>
  <si>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</si>
  <si>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</si>
  <si>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</si>
  <si>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</si>
  <si>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</si>
  <si>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</si>
  <si>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</si>
  <si>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</si>
  <si>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</si>
  <si>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</si>
  <si>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</si>
  <si>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</si>
  <si>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</si>
  <si>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</si>
  <si>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</si>
  <si>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</si>
  <si>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</si>
  <si>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</si>
  <si>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</si>
  <si>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</si>
  <si>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</si>
  <si>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</si>
  <si>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</si>
  <si>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</si>
  <si>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</si>
  <si>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</si>
  <si>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</si>
  <si>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</si>
  <si>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</si>
  <si>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</si>
  <si>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</si>
  <si>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</si>
  <si>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</si>
  <si>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</si>
  <si>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</si>
  <si>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</si>
  <si>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</si>
  <si>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</si>
  <si>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</si>
  <si>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</si>
  <si>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</si>
  <si>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</si>
  <si>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</si>
  <si>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</si>
  <si>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</si>
  <si>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</si>
  <si>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</si>
  <si>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</si>
  <si>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</si>
  <si>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</si>
  <si>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</si>
  <si>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</si>
  <si>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</si>
  <si>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</si>
  <si>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</si>
  <si>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</si>
  <si>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</si>
  <si>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</si>
  <si>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</si>
  <si>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</si>
  <si>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</si>
  <si>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</si>
  <si>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</si>
  <si>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</si>
  <si>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</si>
  <si>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</si>
  <si>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</si>
  <si>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</si>
  <si>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</si>
  <si>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</si>
  <si>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</si>
  <si>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</si>
  <si>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</si>
  <si>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</si>
  <si>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</si>
  <si>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</si>
  <si>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</si>
  <si>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</si>
  <si>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</si>
  <si>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</si>
  <si>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</si>
  <si>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</si>
  <si>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</si>
  <si>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</si>
  <si>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</si>
  <si>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</si>
  <si>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</si>
  <si>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</si>
  <si>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</si>
  <si>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</si>
  <si>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</si>
  <si>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</si>
  <si>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</si>
  <si>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</si>
  <si>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</si>
  <si>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</si>
  <si>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</si>
  <si>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</si>
  <si>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</si>
  <si>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</si>
  <si>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</si>
  <si>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</si>
  <si>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</si>
  <si>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</si>
  <si>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</si>
  <si>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</si>
  <si>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</si>
  <si>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</si>
  <si>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</si>
  <si>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</si>
  <si>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</si>
  <si>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</si>
  <si>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</si>
  <si>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</si>
  <si>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</si>
  <si>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</si>
  <si>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</si>
  <si>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</si>
  <si>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</si>
  <si>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</si>
  <si>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</si>
  <si>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</si>
  <si>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</si>
  <si>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</si>
  <si>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</si>
  <si>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</si>
  <si>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</si>
  <si>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</si>
  <si>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</si>
  <si>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</si>
  <si>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</si>
  <si>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</si>
  <si>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</si>
  <si>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</si>
  <si>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</si>
  <si>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</si>
  <si>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</si>
  <si>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</si>
  <si>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</si>
  <si>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</si>
  <si>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</si>
  <si>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</si>
  <si>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</si>
  <si>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</si>
  <si>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</si>
  <si>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</si>
  <si>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</si>
  <si>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</si>
  <si>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</si>
  <si>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</si>
  <si>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</si>
  <si>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</si>
  <si>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</si>
  <si>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</si>
  <si>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</si>
  <si>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</si>
  <si>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</si>
  <si>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</si>
  <si>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</si>
  <si>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</si>
  <si>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</si>
  <si>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</si>
  <si>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</si>
  <si>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</si>
  <si>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</si>
  <si>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</si>
  <si>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</si>
  <si>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</si>
  <si>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</si>
  <si>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</si>
  <si>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</si>
  <si>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</si>
  <si>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</si>
  <si>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</si>
  <si>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</si>
  <si>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</si>
  <si>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</si>
  <si>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</si>
  <si>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</si>
  <si>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</si>
  <si>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</si>
  <si>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</si>
  <si>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</si>
  <si>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</si>
  <si>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</si>
  <si>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</si>
  <si>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</si>
  <si>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</si>
  <si>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</si>
  <si>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</si>
  <si>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</si>
  <si>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</si>
  <si>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</si>
  <si>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</si>
  <si>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</si>
  <si>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</si>
  <si>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</si>
  <si>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</si>
  <si>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</si>
  <si>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</si>
  <si>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</si>
  <si>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</si>
  <si>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</si>
  <si>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</si>
  <si>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</si>
  <si>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</si>
  <si>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</si>
  <si>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</si>
  <si>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</si>
  <si>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</si>
  <si>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</si>
  <si>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</si>
  <si>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</si>
  <si>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</si>
  <si>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</si>
  <si>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</si>
  <si>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</si>
  <si>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</si>
  <si>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</si>
  <si>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</si>
  <si>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</si>
  <si>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</si>
  <si>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</si>
  <si>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</si>
  <si>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</si>
  <si>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</si>
  <si>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</si>
  <si>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</si>
  <si>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</si>
  <si>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</si>
  <si>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</si>
  <si>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</si>
  <si>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</si>
  <si>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</si>
  <si>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</si>
  <si>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</si>
  <si>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</si>
  <si>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</si>
  <si>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</si>
  <si>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</si>
  <si>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</si>
  <si>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</si>
  <si>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</si>
  <si>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</si>
  <si>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</si>
  <si>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</si>
  <si>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</si>
  <si>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</si>
  <si>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</si>
  <si>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</si>
  <si>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</si>
  <si>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</si>
  <si>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</si>
  <si>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</si>
  <si>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</si>
  <si>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</si>
  <si>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</si>
  <si>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</si>
  <si>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</si>
  <si>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</si>
  <si>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</si>
  <si>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</si>
  <si>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</si>
  <si>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</si>
  <si>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</si>
  <si>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</si>
  <si>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</si>
  <si>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</si>
  <si>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</si>
  <si>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</si>
  <si>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</si>
  <si>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</si>
  <si>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</si>
  <si>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</si>
  <si>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</si>
  <si>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</si>
  <si>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</si>
  <si>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</si>
  <si>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</si>
  <si>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</si>
  <si>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</si>
  <si>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</si>
  <si>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</si>
  <si>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</si>
  <si>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</si>
  <si>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</si>
  <si>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</si>
  <si>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</si>
  <si>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</si>
  <si>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</si>
  <si>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</si>
  <si>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</si>
  <si>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</si>
  <si>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</si>
  <si>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</si>
  <si>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</si>
  <si>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</si>
  <si>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</si>
  <si>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</si>
  <si>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</si>
  <si>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</si>
  <si>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</si>
  <si>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</si>
  <si>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</si>
  <si>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</si>
  <si>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</si>
  <si>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</si>
  <si>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</si>
  <si>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</si>
  <si>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</si>
  <si>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</si>
  <si>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</si>
  <si>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</si>
  <si>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</si>
  <si>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</si>
  <si>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</si>
  <si>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</si>
  <si>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</si>
  <si>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</si>
  <si>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</si>
  <si>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</si>
  <si>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</si>
  <si>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</si>
  <si>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</si>
  <si>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</si>
  <si>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</si>
  <si>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</si>
  <si>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</si>
  <si>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</si>
  <si>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</si>
  <si>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</si>
  <si>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</si>
  <si>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</si>
  <si>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</si>
  <si>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</si>
  <si>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</si>
  <si>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</si>
  <si>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</si>
  <si>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</si>
  <si>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</si>
  <si>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</si>
  <si>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</si>
  <si>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</si>
  <si>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</si>
  <si>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</si>
  <si>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</si>
  <si>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</si>
  <si>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</si>
  <si>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</si>
  <si>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</si>
  <si>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</si>
  <si>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</si>
  <si>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</si>
  <si>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</si>
  <si>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</si>
  <si>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</si>
  <si>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</si>
  <si>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</si>
  <si>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</si>
  <si>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</si>
  <si>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</si>
  <si>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</si>
  <si>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</si>
  <si>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</si>
  <si>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</si>
  <si>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</si>
  <si>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</si>
  <si>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</si>
  <si>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</si>
  <si>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</si>
  <si>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</si>
  <si>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</si>
  <si>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</si>
  <si>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</si>
  <si>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</si>
  <si>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</si>
  <si>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</si>
  <si>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</si>
  <si>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</si>
  <si>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</si>
  <si>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</si>
  <si>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</si>
  <si>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</si>
  <si>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</si>
  <si>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</si>
  <si>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</si>
  <si>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</si>
  <si>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</si>
  <si>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</si>
  <si>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</si>
  <si>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</si>
  <si>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</si>
  <si>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</si>
  <si>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</si>
  <si>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</si>
  <si>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</si>
  <si>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</si>
  <si>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</si>
  <si>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</si>
  <si>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</si>
  <si>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</si>
  <si>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</si>
  <si>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</si>
  <si>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</si>
  <si>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</si>
  <si>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</si>
  <si>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</si>
  <si>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</si>
  <si>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</si>
  <si>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</si>
  <si>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</si>
  <si>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</si>
  <si>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</si>
  <si>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</si>
  <si>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</si>
  <si>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</si>
  <si>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</si>
  <si>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</si>
  <si>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</si>
  <si>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</si>
  <si>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</si>
  <si>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</si>
  <si>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</si>
  <si>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</si>
  <si>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</si>
  <si>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</si>
  <si>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</si>
  <si>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</si>
  <si>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</si>
  <si>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</si>
  <si>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</si>
  <si>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</si>
  <si>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</si>
  <si>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</si>
  <si>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</si>
  <si>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</si>
  <si>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</si>
  <si>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</si>
  <si>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</si>
  <si>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</si>
  <si>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</si>
  <si>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</si>
  <si>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</si>
  <si>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</si>
  <si>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</si>
  <si>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</si>
  <si>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</si>
  <si>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</si>
  <si>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</si>
  <si>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</si>
  <si>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</si>
  <si>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</si>
  <si>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</si>
  <si>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</si>
  <si>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</si>
  <si>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</si>
  <si>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</si>
  <si>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</si>
  <si>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</si>
  <si>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</si>
  <si>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</si>
  <si>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</si>
  <si>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</si>
  <si>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</si>
  <si>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</si>
  <si>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</si>
  <si>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</si>
  <si>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</si>
  <si>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</si>
  <si>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</si>
  <si>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</si>
  <si>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</si>
  <si>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833045174Ю</t>
  </si>
  <si>
    <t xml:space="preserve">              Ръководител:………………….</t>
  </si>
  <si>
    <t xml:space="preserve">               Съставител:……………</t>
  </si>
  <si>
    <t xml:space="preserve">"Слънце Стара Загора - Табак" АД </t>
  </si>
  <si>
    <t>Неконсолидиран</t>
  </si>
  <si>
    <t>Дата на съставяне: 29.07.2020 г.</t>
  </si>
  <si>
    <t>29.07.2020 г.</t>
  </si>
  <si>
    <t>Дата  на съставяне: 29.07.2020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</si>
</sst>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1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62" t="s">
        <v>866</v>
      </c>
      <c r="F3" s="217" t="s">
        <v>2</v>
      </c>
      <c r="G3" s="172"/>
      <c r="H3" s="461" t="s">
        <v>863</v>
      </c>
    </row>
    <row r="4" spans="1:8" ht="15">
      <c r="A4" s="573" t="s">
        <v>3</v>
      </c>
      <c r="B4" s="579"/>
      <c r="C4" s="579"/>
      <c r="D4" s="579"/>
      <c r="E4" s="504" t="s">
        <v>867</v>
      </c>
      <c r="F4" s="575" t="s">
        <v>4</v>
      </c>
      <c r="G4" s="576"/>
      <c r="H4" s="461">
        <v>319</v>
      </c>
    </row>
    <row r="5" spans="1:8" ht="15">
      <c r="A5" s="573" t="s">
        <v>5</v>
      </c>
      <c r="B5" s="574"/>
      <c r="C5" s="574"/>
      <c r="D5" s="574"/>
      <c r="E5" s="505">
        <v>43830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12763</v>
      </c>
      <c r="D11" s="151">
        <v>12763</v>
      </c>
      <c r="E11" s="237" t="s">
        <v>22</v>
      </c>
      <c r="F11" s="242" t="s">
        <v>23</v>
      </c>
      <c r="G11" s="152">
        <v>2828</v>
      </c>
      <c r="H11" s="152">
        <v>1178</v>
      </c>
    </row>
    <row r="12" spans="1:8" ht="15">
      <c r="A12" s="235" t="s">
        <v>24</v>
      </c>
      <c r="B12" s="241" t="s">
        <v>25</v>
      </c>
      <c r="C12" s="151">
        <v>1557</v>
      </c>
      <c r="D12" s="151">
        <v>2564</v>
      </c>
      <c r="E12" s="237" t="s">
        <v>26</v>
      </c>
      <c r="F12" s="242" t="s">
        <v>27</v>
      </c>
      <c r="G12" s="153">
        <v>2828</v>
      </c>
      <c r="H12" s="153">
        <v>1178</v>
      </c>
    </row>
    <row r="13" spans="1:8" ht="15">
      <c r="A13" s="235" t="s">
        <v>28</v>
      </c>
      <c r="B13" s="241" t="s">
        <v>29</v>
      </c>
      <c r="C13" s="151">
        <v>943</v>
      </c>
      <c r="D13" s="151">
        <v>283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123</v>
      </c>
      <c r="D14" s="151">
        <v>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28</v>
      </c>
      <c r="D15" s="151">
        <v>37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20</v>
      </c>
      <c r="D16" s="151">
        <v>11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158</v>
      </c>
      <c r="D17" s="151">
        <v>63</v>
      </c>
      <c r="E17" s="243" t="s">
        <v>46</v>
      </c>
      <c r="F17" s="245" t="s">
        <v>47</v>
      </c>
      <c r="G17" s="154">
        <f>G11+G14+G15+G16</f>
        <v>2828</v>
      </c>
      <c r="H17" s="154">
        <f>H11+H14+H15+H16</f>
        <v>1178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15592</v>
      </c>
      <c r="D19" s="155">
        <f>SUM(D11:D18)</f>
        <v>15724</v>
      </c>
      <c r="E19" s="237" t="s">
        <v>53</v>
      </c>
      <c r="F19" s="242" t="s">
        <v>54</v>
      </c>
      <c r="G19" s="152">
        <v>16140</v>
      </c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10939</v>
      </c>
      <c r="H20" s="158">
        <v>10939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1794</v>
      </c>
      <c r="H21" s="156">
        <f>SUM(H22:H24)</f>
        <v>1794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1794</v>
      </c>
      <c r="H22" s="152">
        <v>1794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249</v>
      </c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28873</v>
      </c>
      <c r="H25" s="154">
        <f>H19+H20+H21</f>
        <v>12733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249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-3287</v>
      </c>
      <c r="H27" s="154">
        <f>SUM(H28:H30)</f>
        <v>-5590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-3287</v>
      </c>
      <c r="H29" s="316">
        <v>-5590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3653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-135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-3422</v>
      </c>
      <c r="H33" s="154">
        <f>H27+H31+H32</f>
        <v>-1937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28279</v>
      </c>
      <c r="H36" s="154">
        <f>H25+H17+H33</f>
        <v>11974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1758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1758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10650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10650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1227</v>
      </c>
      <c r="H53" s="152">
        <v>1171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26491</v>
      </c>
      <c r="D55" s="155">
        <f>D19+D20+D21+D27+D32+D45+D51+D53+D54</f>
        <v>15724</v>
      </c>
      <c r="E55" s="237" t="s">
        <v>172</v>
      </c>
      <c r="F55" s="261" t="s">
        <v>173</v>
      </c>
      <c r="G55" s="154">
        <f>G49+G51+G52+G53+G54</f>
        <v>2985</v>
      </c>
      <c r="H55" s="154">
        <f>H49+H51+H52+H53+H54</f>
        <v>1171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1507</v>
      </c>
      <c r="D58" s="151">
        <v>1659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591</v>
      </c>
      <c r="D59" s="151">
        <v>223</v>
      </c>
      <c r="E59" s="251" t="s">
        <v>181</v>
      </c>
      <c r="F59" s="242" t="s">
        <v>182</v>
      </c>
      <c r="G59" s="152">
        <v>4519</v>
      </c>
      <c r="H59" s="152">
        <v>14499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12</v>
      </c>
      <c r="D61" s="151">
        <v>11</v>
      </c>
      <c r="E61" s="243" t="s">
        <v>189</v>
      </c>
      <c r="F61" s="272" t="s">
        <v>190</v>
      </c>
      <c r="G61" s="154">
        <f>SUM(G62:G68)</f>
        <v>2141</v>
      </c>
      <c r="H61" s="154">
        <f>SUM(H62:H68)</f>
        <v>1205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135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2110</v>
      </c>
      <c r="D64" s="155">
        <f>SUM(D58:D63)</f>
        <v>1893</v>
      </c>
      <c r="E64" s="237" t="s">
        <v>200</v>
      </c>
      <c r="F64" s="242" t="s">
        <v>201</v>
      </c>
      <c r="G64" s="152">
        <v>1177</v>
      </c>
      <c r="H64" s="152">
        <v>480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430</v>
      </c>
      <c r="H65" s="152">
        <v>169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183</v>
      </c>
      <c r="H66" s="152">
        <v>152</v>
      </c>
    </row>
    <row r="67" spans="1:8" ht="15">
      <c r="A67" s="235" t="s">
        <v>207</v>
      </c>
      <c r="B67" s="241" t="s">
        <v>208</v>
      </c>
      <c r="C67" s="151">
        <v>8748</v>
      </c>
      <c r="D67" s="151">
        <v>1202</v>
      </c>
      <c r="E67" s="237" t="s">
        <v>209</v>
      </c>
      <c r="F67" s="242" t="s">
        <v>210</v>
      </c>
      <c r="G67" s="152">
        <v>124</v>
      </c>
      <c r="H67" s="152">
        <v>95</v>
      </c>
    </row>
    <row r="68" spans="1:8" ht="15">
      <c r="A68" s="235" t="s">
        <v>211</v>
      </c>
      <c r="B68" s="241" t="s">
        <v>212</v>
      </c>
      <c r="C68" s="151">
        <v>101</v>
      </c>
      <c r="D68" s="151">
        <v>139</v>
      </c>
      <c r="E68" s="237" t="s">
        <v>213</v>
      </c>
      <c r="F68" s="242" t="s">
        <v>214</v>
      </c>
      <c r="G68" s="152">
        <v>92</v>
      </c>
      <c r="H68" s="152">
        <v>309</v>
      </c>
    </row>
    <row r="69" spans="1:8" ht="15">
      <c r="A69" s="235" t="s">
        <v>215</v>
      </c>
      <c r="B69" s="241" t="s">
        <v>216</v>
      </c>
      <c r="C69" s="151">
        <v>15</v>
      </c>
      <c r="D69" s="151">
        <v>88</v>
      </c>
      <c r="E69" s="251" t="s">
        <v>78</v>
      </c>
      <c r="F69" s="242" t="s">
        <v>217</v>
      </c>
      <c r="G69" s="152">
        <v>12</v>
      </c>
      <c r="H69" s="152">
        <v>13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>
        <v>13</v>
      </c>
    </row>
    <row r="71" spans="1:18" ht="15">
      <c r="A71" s="235" t="s">
        <v>222</v>
      </c>
      <c r="B71" s="241" t="s">
        <v>223</v>
      </c>
      <c r="C71" s="151"/>
      <c r="D71" s="151">
        <v>0</v>
      </c>
      <c r="E71" s="253" t="s">
        <v>46</v>
      </c>
      <c r="F71" s="273" t="s">
        <v>224</v>
      </c>
      <c r="G71" s="161">
        <f>G59+G60+G61+G69+G70</f>
        <v>6672</v>
      </c>
      <c r="H71" s="161">
        <f>H59+H60+H61+H69+H70</f>
        <v>15730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263</v>
      </c>
      <c r="D72" s="151">
        <v>231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20</v>
      </c>
      <c r="D74" s="151">
        <v>17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9147</v>
      </c>
      <c r="D75" s="155">
        <f>SUM(D67:D74)</f>
        <v>1677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6672</v>
      </c>
      <c r="H79" s="162">
        <f>H71+H74+H75+H76</f>
        <v>15730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f>10818-10650</f>
        <v>168</v>
      </c>
      <c r="D83" s="151">
        <v>9414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168</v>
      </c>
      <c r="D84" s="155">
        <f>D83+D82+D78</f>
        <v>9414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</v>
      </c>
      <c r="D88" s="151">
        <v>163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20</v>
      </c>
      <c r="D91" s="155">
        <f>SUM(D87:D90)</f>
        <v>167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11445</v>
      </c>
      <c r="D93" s="155">
        <f>D64+D75+D84+D91+D92</f>
        <v>13151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37936</v>
      </c>
      <c r="D94" s="164">
        <f>D93+D55</f>
        <v>28875</v>
      </c>
      <c r="E94" s="449" t="s">
        <v>270</v>
      </c>
      <c r="F94" s="289" t="s">
        <v>271</v>
      </c>
      <c r="G94" s="165">
        <f>G36+G39+G55+G79</f>
        <v>37936</v>
      </c>
      <c r="H94" s="165">
        <f>H36+H39+H55+H79</f>
        <v>28875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77" t="s">
        <v>865</v>
      </c>
      <c r="D98" s="577"/>
      <c r="E98" s="577"/>
      <c r="F98" s="170"/>
      <c r="G98" s="171"/>
      <c r="H98" s="172"/>
      <c r="M98" s="157"/>
    </row>
    <row r="99" spans="3:8" ht="15">
      <c r="C99" s="45"/>
      <c r="D99" s="1"/>
      <c r="F99" s="170"/>
      <c r="G99" s="171"/>
      <c r="H99" s="172"/>
    </row>
    <row r="100" spans="1:5" ht="15">
      <c r="A100" s="173"/>
      <c r="B100" s="173"/>
      <c r="C100" s="577" t="s">
        <v>864</v>
      </c>
      <c r="D100" s="578"/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B65" sqref="B6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2" t="str">
        <f>'справка №1-БАЛАНС'!E3</f>
        <v>"Слънце Стара Загора - Табак" АД </v>
      </c>
      <c r="C2" s="582"/>
      <c r="D2" s="582"/>
      <c r="E2" s="582"/>
      <c r="F2" s="584" t="s">
        <v>2</v>
      </c>
      <c r="G2" s="584"/>
      <c r="H2" s="526" t="str">
        <f>'справка №1-БАЛАНС'!H3</f>
        <v>833045174Ю</v>
      </c>
    </row>
    <row r="3" spans="1:8" ht="15">
      <c r="A3" s="467" t="s">
        <v>274</v>
      </c>
      <c r="B3" s="582" t="str">
        <f>'справка №1-БАЛАНС'!E4</f>
        <v>Неконсолидиран</v>
      </c>
      <c r="C3" s="582"/>
      <c r="D3" s="582"/>
      <c r="E3" s="582"/>
      <c r="F3" s="546" t="s">
        <v>4</v>
      </c>
      <c r="G3" s="527"/>
      <c r="H3" s="527">
        <f>'справка №1-БАЛАНС'!H4</f>
        <v>319</v>
      </c>
    </row>
    <row r="4" spans="1:8" ht="17.25" customHeight="1">
      <c r="A4" s="467" t="s">
        <v>5</v>
      </c>
      <c r="B4" s="583">
        <f>'справка №1-БАЛАНС'!E5</f>
        <v>43830</v>
      </c>
      <c r="C4" s="583"/>
      <c r="D4" s="583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6013</v>
      </c>
      <c r="D9" s="46">
        <v>6560</v>
      </c>
      <c r="E9" s="298" t="s">
        <v>284</v>
      </c>
      <c r="F9" s="549" t="s">
        <v>285</v>
      </c>
      <c r="G9" s="550">
        <v>7343</v>
      </c>
      <c r="H9" s="550">
        <v>9100</v>
      </c>
    </row>
    <row r="10" spans="1:8" ht="12">
      <c r="A10" s="298" t="s">
        <v>286</v>
      </c>
      <c r="B10" s="299" t="s">
        <v>287</v>
      </c>
      <c r="C10" s="46">
        <v>416</v>
      </c>
      <c r="D10" s="46">
        <v>408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194</v>
      </c>
      <c r="D11" s="46">
        <v>200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1510</v>
      </c>
      <c r="D12" s="46">
        <v>1355</v>
      </c>
      <c r="E12" s="300" t="s">
        <v>78</v>
      </c>
      <c r="F12" s="549" t="s">
        <v>296</v>
      </c>
      <c r="G12" s="550">
        <v>1197</v>
      </c>
      <c r="H12" s="550">
        <v>786</v>
      </c>
    </row>
    <row r="13" spans="1:18" ht="12">
      <c r="A13" s="298" t="s">
        <v>297</v>
      </c>
      <c r="B13" s="299" t="s">
        <v>298</v>
      </c>
      <c r="C13" s="46">
        <v>434</v>
      </c>
      <c r="D13" s="46">
        <v>373</v>
      </c>
      <c r="E13" s="301" t="s">
        <v>51</v>
      </c>
      <c r="F13" s="551" t="s">
        <v>299</v>
      </c>
      <c r="G13" s="548">
        <f>SUM(G9:G12)</f>
        <v>8540</v>
      </c>
      <c r="H13" s="548">
        <f>SUM(H9:H12)</f>
        <v>9886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50</v>
      </c>
      <c r="D14" s="46">
        <v>65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-371-13</f>
        <v>-384</v>
      </c>
      <c r="D15" s="47">
        <v>261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253</v>
      </c>
      <c r="D16" s="47">
        <v>288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164</v>
      </c>
      <c r="D17" s="48">
        <v>212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>
        <v>13</v>
      </c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8486</v>
      </c>
      <c r="D19" s="49">
        <f>SUM(D9:D15)+D16</f>
        <v>9510</v>
      </c>
      <c r="E19" s="304" t="s">
        <v>316</v>
      </c>
      <c r="F19" s="552" t="s">
        <v>317</v>
      </c>
      <c r="G19" s="550">
        <v>521</v>
      </c>
      <c r="H19" s="550">
        <v>241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145</v>
      </c>
      <c r="H21" s="550">
        <v>3928</v>
      </c>
    </row>
    <row r="22" spans="1:8" ht="24">
      <c r="A22" s="304" t="s">
        <v>323</v>
      </c>
      <c r="B22" s="305" t="s">
        <v>324</v>
      </c>
      <c r="C22" s="46">
        <v>489</v>
      </c>
      <c r="D22" s="46">
        <v>572</v>
      </c>
      <c r="E22" s="304" t="s">
        <v>325</v>
      </c>
      <c r="F22" s="552" t="s">
        <v>326</v>
      </c>
      <c r="G22" s="550">
        <v>50</v>
      </c>
      <c r="H22" s="550">
        <v>30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61</v>
      </c>
      <c r="D24" s="46">
        <v>46</v>
      </c>
      <c r="E24" s="301" t="s">
        <v>103</v>
      </c>
      <c r="F24" s="554" t="s">
        <v>333</v>
      </c>
      <c r="G24" s="548">
        <f>SUM(G19:G23)</f>
        <v>716</v>
      </c>
      <c r="H24" s="548">
        <f>SUM(H19:H23)</f>
        <v>4199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149</v>
      </c>
      <c r="D25" s="46">
        <v>144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699</v>
      </c>
      <c r="D26" s="49">
        <f>SUM(D22:D25)</f>
        <v>762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9185</v>
      </c>
      <c r="D28" s="50">
        <f>D26+D19</f>
        <v>10272</v>
      </c>
      <c r="E28" s="127" t="s">
        <v>338</v>
      </c>
      <c r="F28" s="554" t="s">
        <v>339</v>
      </c>
      <c r="G28" s="548">
        <f>G13+G15+G24</f>
        <v>9256</v>
      </c>
      <c r="H28" s="548">
        <f>H13+H15+H24</f>
        <v>14085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71</v>
      </c>
      <c r="D30" s="50">
        <f>IF((H28-D28)&gt;0,H28-D28,0)</f>
        <v>3813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9185</v>
      </c>
      <c r="D33" s="49">
        <f>D28+D31+D32</f>
        <v>10272</v>
      </c>
      <c r="E33" s="127" t="s">
        <v>352</v>
      </c>
      <c r="F33" s="554" t="s">
        <v>353</v>
      </c>
      <c r="G33" s="53">
        <f>G32+G31+G28</f>
        <v>9256</v>
      </c>
      <c r="H33" s="53">
        <f>H32+H31+H28</f>
        <v>14085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71</v>
      </c>
      <c r="D34" s="50">
        <f>IF((H33-D33)&gt;0,H33-D33,0)</f>
        <v>3813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206</v>
      </c>
      <c r="D35" s="49">
        <f>D36+D37+D38</f>
        <v>160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274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206</v>
      </c>
      <c r="D37" s="430">
        <v>-114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3653</v>
      </c>
      <c r="E39" s="313" t="s">
        <v>368</v>
      </c>
      <c r="F39" s="558" t="s">
        <v>369</v>
      </c>
      <c r="G39" s="559">
        <f>IF(G34&gt;0,IF(C35+G34&lt;0,0,C35+G34),IF(C34-C35&lt;0,C35-C34,0))</f>
        <v>135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0</v>
      </c>
      <c r="D41" s="52">
        <f>IF(D39-D40&gt;0,D39-D40,0)</f>
        <v>3653</v>
      </c>
      <c r="E41" s="127" t="s">
        <v>375</v>
      </c>
      <c r="F41" s="558" t="s">
        <v>376</v>
      </c>
      <c r="G41" s="52">
        <f>IF(G39-G40&gt;0,G39-G40,0)</f>
        <v>135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9391</v>
      </c>
      <c r="D42" s="53">
        <f>D33+D35+D39</f>
        <v>14085</v>
      </c>
      <c r="E42" s="128" t="s">
        <v>379</v>
      </c>
      <c r="F42" s="129" t="s">
        <v>380</v>
      </c>
      <c r="G42" s="53">
        <f>G39+G33</f>
        <v>9391</v>
      </c>
      <c r="H42" s="53">
        <f>H39+H33</f>
        <v>14085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5" t="s">
        <v>861</v>
      </c>
      <c r="B45" s="585"/>
      <c r="C45" s="585"/>
      <c r="D45" s="585"/>
      <c r="E45" s="58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1" t="s">
        <v>869</v>
      </c>
      <c r="C48" s="427" t="s">
        <v>381</v>
      </c>
      <c r="D48" s="580"/>
      <c r="E48" s="580"/>
      <c r="F48" s="580"/>
      <c r="G48" s="580"/>
      <c r="H48" s="58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1"/>
      <c r="E50" s="581"/>
      <c r="F50" s="581"/>
      <c r="G50" s="581"/>
      <c r="H50" s="58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"Слънце Стара Загора - Табак" АД </v>
      </c>
      <c r="C4" s="541" t="s">
        <v>2</v>
      </c>
      <c r="D4" s="541" t="str">
        <f>'справка №1-БАЛАНС'!H3</f>
        <v>833045174Ю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319</v>
      </c>
    </row>
    <row r="6" spans="1:6" ht="12" customHeight="1">
      <c r="A6" s="471" t="s">
        <v>5</v>
      </c>
      <c r="B6" s="506">
        <f>'справка №1-БАЛАНС'!E5</f>
        <v>43830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8110</v>
      </c>
      <c r="D10" s="54">
        <v>9370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-7026</v>
      </c>
      <c r="D11" s="54">
        <v>-8347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-1399</v>
      </c>
      <c r="D13" s="54">
        <v>-1203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f>-4+683</f>
        <v>679</v>
      </c>
      <c r="D14" s="54">
        <v>669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-636</v>
      </c>
      <c r="D17" s="54">
        <v>-716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-8</v>
      </c>
      <c r="D18" s="54">
        <v>-10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-314</v>
      </c>
      <c r="D19" s="54">
        <v>-8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-594</v>
      </c>
      <c r="D20" s="55">
        <f>SUM(D10:D19)</f>
        <v>-245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-1582</v>
      </c>
      <c r="D22" s="54">
        <v>-66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-7781</v>
      </c>
      <c r="D24" s="54">
        <v>-1670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213</v>
      </c>
      <c r="D25" s="54">
        <v>1596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>
        <v>506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-9150</v>
      </c>
      <c r="D32" s="55">
        <f>SUM(D22:D31)</f>
        <v>366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17820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1762</v>
      </c>
      <c r="D36" s="54">
        <v>5</v>
      </c>
      <c r="E36" s="130"/>
      <c r="F36" s="130"/>
    </row>
    <row r="37" spans="1:6" ht="12">
      <c r="A37" s="332" t="s">
        <v>437</v>
      </c>
      <c r="B37" s="333" t="s">
        <v>438</v>
      </c>
      <c r="C37" s="54">
        <v>-9985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9597</v>
      </c>
      <c r="D42" s="55">
        <f>SUM(D34:D41)</f>
        <v>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-147</v>
      </c>
      <c r="D43" s="55">
        <f>D42+D32+D20</f>
        <v>126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167</v>
      </c>
      <c r="D44" s="132">
        <v>41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20</v>
      </c>
      <c r="D45" s="55">
        <f>D44+D43</f>
        <v>167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20</v>
      </c>
      <c r="D46" s="56">
        <v>167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6"/>
      <c r="D50" s="58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6"/>
      <c r="D52" s="58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C41" sqref="C4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7" t="s">
        <v>459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9" t="str">
        <f>'справка №1-БАЛАНС'!E3</f>
        <v>"Слънце Стара Загора - Табак" АД </v>
      </c>
      <c r="C3" s="589"/>
      <c r="D3" s="589"/>
      <c r="E3" s="589"/>
      <c r="F3" s="589"/>
      <c r="G3" s="589"/>
      <c r="H3" s="589"/>
      <c r="I3" s="589"/>
      <c r="J3" s="476"/>
      <c r="K3" s="591" t="s">
        <v>2</v>
      </c>
      <c r="L3" s="591"/>
      <c r="M3" s="478" t="str">
        <f>'справка №1-БАЛАНС'!H3</f>
        <v>833045174Ю</v>
      </c>
      <c r="N3" s="2"/>
    </row>
    <row r="4" spans="1:15" s="532" customFormat="1" ht="13.5" customHeight="1">
      <c r="A4" s="467" t="s">
        <v>460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8">
        <f>'справка №1-БАЛАНС'!H4</f>
        <v>319</v>
      </c>
      <c r="N4" s="3"/>
      <c r="O4" s="3"/>
    </row>
    <row r="5" spans="1:14" s="532" customFormat="1" ht="12.75" customHeight="1">
      <c r="A5" s="467" t="s">
        <v>5</v>
      </c>
      <c r="B5" s="593">
        <f>'справка №1-БАЛАНС'!E5</f>
        <v>43830</v>
      </c>
      <c r="C5" s="593"/>
      <c r="D5" s="593"/>
      <c r="E5" s="59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1178</v>
      </c>
      <c r="D11" s="58">
        <f>'справка №1-БАЛАНС'!H19</f>
        <v>0</v>
      </c>
      <c r="E11" s="58">
        <f>'справка №1-БАЛАНС'!H20</f>
        <v>10939</v>
      </c>
      <c r="F11" s="58">
        <f>'справка №1-БАЛАНС'!H22</f>
        <v>1794</v>
      </c>
      <c r="G11" s="58">
        <f>'справка №1-БАЛАНС'!H23</f>
        <v>0</v>
      </c>
      <c r="H11" s="60"/>
      <c r="I11" s="58">
        <f>'справка №1-БАЛАНС'!H28+'справка №1-БАЛАНС'!H31</f>
        <v>3653</v>
      </c>
      <c r="J11" s="58">
        <f>'справка №1-БАЛАНС'!H29+'справка №1-БАЛАНС'!H32</f>
        <v>-5590</v>
      </c>
      <c r="K11" s="60"/>
      <c r="L11" s="344">
        <f>SUM(C11:K11)</f>
        <v>11974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-1350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-1350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>
        <f>-1500+150</f>
        <v>-1350</v>
      </c>
      <c r="J14" s="60"/>
      <c r="K14" s="60"/>
      <c r="L14" s="344">
        <f t="shared" si="1"/>
        <v>-1350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1178</v>
      </c>
      <c r="D15" s="61">
        <f aca="true" t="shared" si="2" ref="D15:M15">D11+D12</f>
        <v>0</v>
      </c>
      <c r="E15" s="61">
        <f t="shared" si="2"/>
        <v>10939</v>
      </c>
      <c r="F15" s="61">
        <f t="shared" si="2"/>
        <v>1794</v>
      </c>
      <c r="G15" s="61">
        <f t="shared" si="2"/>
        <v>0</v>
      </c>
      <c r="H15" s="61">
        <f t="shared" si="2"/>
        <v>0</v>
      </c>
      <c r="I15" s="61">
        <f t="shared" si="2"/>
        <v>2303</v>
      </c>
      <c r="J15" s="61">
        <f t="shared" si="2"/>
        <v>-5590</v>
      </c>
      <c r="K15" s="61">
        <f t="shared" si="2"/>
        <v>0</v>
      </c>
      <c r="L15" s="344">
        <f t="shared" si="1"/>
        <v>10624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-135</v>
      </c>
      <c r="K16" s="60"/>
      <c r="L16" s="344">
        <f t="shared" si="1"/>
        <v>-135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1650</v>
      </c>
      <c r="D28" s="60">
        <f>16170-30</f>
        <v>16140</v>
      </c>
      <c r="E28" s="60"/>
      <c r="F28" s="60"/>
      <c r="G28" s="60"/>
      <c r="H28" s="60"/>
      <c r="I28" s="60"/>
      <c r="J28" s="60"/>
      <c r="K28" s="60"/>
      <c r="L28" s="344">
        <f t="shared" si="1"/>
        <v>17790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2828</v>
      </c>
      <c r="D29" s="59">
        <f aca="true" t="shared" si="6" ref="D29:M29">D17+D20+D21+D24+D28+D27+D15+D16</f>
        <v>16140</v>
      </c>
      <c r="E29" s="59">
        <f t="shared" si="6"/>
        <v>10939</v>
      </c>
      <c r="F29" s="59">
        <f t="shared" si="6"/>
        <v>1794</v>
      </c>
      <c r="G29" s="59">
        <f t="shared" si="6"/>
        <v>0</v>
      </c>
      <c r="H29" s="59">
        <f t="shared" si="6"/>
        <v>0</v>
      </c>
      <c r="I29" s="59">
        <f t="shared" si="6"/>
        <v>2303</v>
      </c>
      <c r="J29" s="59">
        <f t="shared" si="6"/>
        <v>-5725</v>
      </c>
      <c r="K29" s="59">
        <f t="shared" si="6"/>
        <v>0</v>
      </c>
      <c r="L29" s="344">
        <f t="shared" si="1"/>
        <v>28279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2828</v>
      </c>
      <c r="D32" s="59">
        <f t="shared" si="7"/>
        <v>16140</v>
      </c>
      <c r="E32" s="59">
        <f t="shared" si="7"/>
        <v>10939</v>
      </c>
      <c r="F32" s="59">
        <f t="shared" si="7"/>
        <v>1794</v>
      </c>
      <c r="G32" s="59">
        <f t="shared" si="7"/>
        <v>0</v>
      </c>
      <c r="H32" s="59">
        <f t="shared" si="7"/>
        <v>0</v>
      </c>
      <c r="I32" s="59">
        <f t="shared" si="7"/>
        <v>2303</v>
      </c>
      <c r="J32" s="59">
        <f t="shared" si="7"/>
        <v>-5725</v>
      </c>
      <c r="K32" s="59">
        <f t="shared" si="7"/>
        <v>0</v>
      </c>
      <c r="L32" s="344">
        <f t="shared" si="1"/>
        <v>28279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862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88" t="s">
        <v>521</v>
      </c>
      <c r="E38" s="588"/>
      <c r="F38" s="588"/>
      <c r="G38" s="588"/>
      <c r="H38" s="588"/>
      <c r="I38" s="588"/>
      <c r="J38" s="15" t="s">
        <v>857</v>
      </c>
      <c r="K38" s="15"/>
      <c r="L38" s="588"/>
      <c r="M38" s="58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383</v>
      </c>
      <c r="B2" s="607"/>
      <c r="C2" s="608" t="str">
        <f>'справка №1-БАЛАНС'!E3</f>
        <v>"Слънце Стара Загора - Табак" АД </v>
      </c>
      <c r="D2" s="608"/>
      <c r="E2" s="608"/>
      <c r="F2" s="608"/>
      <c r="G2" s="608"/>
      <c r="H2" s="608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833045174Ю</v>
      </c>
      <c r="P2" s="483"/>
      <c r="Q2" s="483"/>
      <c r="R2" s="526"/>
    </row>
    <row r="3" spans="1:18" ht="15">
      <c r="A3" s="606" t="s">
        <v>5</v>
      </c>
      <c r="B3" s="607"/>
      <c r="C3" s="609">
        <f>'справка №1-БАЛАНС'!E5</f>
        <v>43830</v>
      </c>
      <c r="D3" s="609"/>
      <c r="E3" s="609"/>
      <c r="F3" s="485"/>
      <c r="G3" s="485"/>
      <c r="H3" s="485"/>
      <c r="I3" s="485"/>
      <c r="J3" s="485"/>
      <c r="K3" s="485"/>
      <c r="L3" s="485"/>
      <c r="M3" s="596" t="s">
        <v>4</v>
      </c>
      <c r="N3" s="596"/>
      <c r="O3" s="482">
        <f>'справка №1-БАЛАНС'!H4</f>
        <v>319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0" t="s">
        <v>463</v>
      </c>
      <c r="B5" s="601"/>
      <c r="C5" s="604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4" t="s">
        <v>529</v>
      </c>
      <c r="R5" s="594" t="s">
        <v>530</v>
      </c>
    </row>
    <row r="6" spans="1:18" s="100" customFormat="1" ht="48">
      <c r="A6" s="602"/>
      <c r="B6" s="603"/>
      <c r="C6" s="605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5"/>
      <c r="R6" s="595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12763</v>
      </c>
      <c r="E9" s="189"/>
      <c r="F9" s="189"/>
      <c r="G9" s="74">
        <f>D9+E9-F9</f>
        <v>12763</v>
      </c>
      <c r="H9" s="65"/>
      <c r="I9" s="65"/>
      <c r="J9" s="74">
        <f>G9+H9-I9</f>
        <v>12763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12763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4453</v>
      </c>
      <c r="E10" s="189">
        <v>642</v>
      </c>
      <c r="F10" s="189">
        <v>1542</v>
      </c>
      <c r="G10" s="74">
        <f aca="true" t="shared" si="2" ref="G10:G39">D10+E10-F10</f>
        <v>3553</v>
      </c>
      <c r="H10" s="65"/>
      <c r="I10" s="65"/>
      <c r="J10" s="74">
        <f aca="true" t="shared" si="3" ref="J10:J39">G10+H10-I10</f>
        <v>3553</v>
      </c>
      <c r="K10" s="65">
        <v>1889</v>
      </c>
      <c r="L10" s="65">
        <v>109</v>
      </c>
      <c r="M10" s="65">
        <v>2</v>
      </c>
      <c r="N10" s="74">
        <f aca="true" t="shared" si="4" ref="N10:N39">K10+L10-M10</f>
        <v>1996</v>
      </c>
      <c r="O10" s="65"/>
      <c r="P10" s="65"/>
      <c r="Q10" s="74">
        <f t="shared" si="0"/>
        <v>1996</v>
      </c>
      <c r="R10" s="74">
        <f t="shared" si="1"/>
        <v>1557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11670</v>
      </c>
      <c r="E11" s="189">
        <v>721</v>
      </c>
      <c r="F11" s="189">
        <v>63</v>
      </c>
      <c r="G11" s="74">
        <f t="shared" si="2"/>
        <v>12328</v>
      </c>
      <c r="H11" s="65"/>
      <c r="I11" s="65"/>
      <c r="J11" s="74">
        <f t="shared" si="3"/>
        <v>12328</v>
      </c>
      <c r="K11" s="65">
        <v>11387</v>
      </c>
      <c r="L11" s="65">
        <v>61</v>
      </c>
      <c r="M11" s="65">
        <v>63</v>
      </c>
      <c r="N11" s="74">
        <f t="shared" si="4"/>
        <v>11385</v>
      </c>
      <c r="O11" s="65"/>
      <c r="P11" s="65"/>
      <c r="Q11" s="74">
        <f t="shared" si="0"/>
        <v>11385</v>
      </c>
      <c r="R11" s="74">
        <f t="shared" si="1"/>
        <v>943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1068</v>
      </c>
      <c r="E12" s="189">
        <v>131</v>
      </c>
      <c r="F12" s="189">
        <v>36</v>
      </c>
      <c r="G12" s="74">
        <f t="shared" si="2"/>
        <v>1163</v>
      </c>
      <c r="H12" s="65"/>
      <c r="I12" s="65"/>
      <c r="J12" s="74">
        <f t="shared" si="3"/>
        <v>1163</v>
      </c>
      <c r="K12" s="65">
        <v>1065</v>
      </c>
      <c r="L12" s="65">
        <v>11</v>
      </c>
      <c r="M12" s="65">
        <v>36</v>
      </c>
      <c r="N12" s="74">
        <f t="shared" si="4"/>
        <v>1040</v>
      </c>
      <c r="O12" s="65"/>
      <c r="P12" s="65"/>
      <c r="Q12" s="74">
        <f t="shared" si="0"/>
        <v>1040</v>
      </c>
      <c r="R12" s="74">
        <f t="shared" si="1"/>
        <v>123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252</v>
      </c>
      <c r="E13" s="189"/>
      <c r="F13" s="189"/>
      <c r="G13" s="74">
        <f t="shared" si="2"/>
        <v>252</v>
      </c>
      <c r="H13" s="65"/>
      <c r="I13" s="65"/>
      <c r="J13" s="74">
        <f t="shared" si="3"/>
        <v>252</v>
      </c>
      <c r="K13" s="65">
        <v>215</v>
      </c>
      <c r="L13" s="65">
        <v>9</v>
      </c>
      <c r="M13" s="65"/>
      <c r="N13" s="74">
        <f t="shared" si="4"/>
        <v>224</v>
      </c>
      <c r="O13" s="65"/>
      <c r="P13" s="65"/>
      <c r="Q13" s="74">
        <f t="shared" si="0"/>
        <v>224</v>
      </c>
      <c r="R13" s="74">
        <f t="shared" si="1"/>
        <v>28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171</v>
      </c>
      <c r="E14" s="189">
        <v>13</v>
      </c>
      <c r="F14" s="189">
        <v>33</v>
      </c>
      <c r="G14" s="74">
        <f t="shared" si="2"/>
        <v>151</v>
      </c>
      <c r="H14" s="65"/>
      <c r="I14" s="65"/>
      <c r="J14" s="74">
        <f t="shared" si="3"/>
        <v>151</v>
      </c>
      <c r="K14" s="65">
        <v>160</v>
      </c>
      <c r="L14" s="65">
        <v>4</v>
      </c>
      <c r="M14" s="65">
        <v>33</v>
      </c>
      <c r="N14" s="74">
        <f t="shared" si="4"/>
        <v>131</v>
      </c>
      <c r="O14" s="65"/>
      <c r="P14" s="65"/>
      <c r="Q14" s="74">
        <f t="shared" si="0"/>
        <v>131</v>
      </c>
      <c r="R14" s="74">
        <f t="shared" si="1"/>
        <v>20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63</v>
      </c>
      <c r="E15" s="457">
        <v>1589</v>
      </c>
      <c r="F15" s="457">
        <v>1494</v>
      </c>
      <c r="G15" s="74">
        <f t="shared" si="2"/>
        <v>158</v>
      </c>
      <c r="H15" s="458"/>
      <c r="I15" s="458"/>
      <c r="J15" s="74">
        <f t="shared" si="3"/>
        <v>158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158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30440</v>
      </c>
      <c r="E17" s="194">
        <f>SUM(E9:E16)</f>
        <v>3096</v>
      </c>
      <c r="F17" s="194">
        <f>SUM(F9:F16)</f>
        <v>3168</v>
      </c>
      <c r="G17" s="74">
        <f t="shared" si="2"/>
        <v>30368</v>
      </c>
      <c r="H17" s="75">
        <f>SUM(H9:H16)</f>
        <v>0</v>
      </c>
      <c r="I17" s="75">
        <f>SUM(I9:I16)</f>
        <v>0</v>
      </c>
      <c r="J17" s="74">
        <f t="shared" si="3"/>
        <v>30368</v>
      </c>
      <c r="K17" s="75">
        <f>SUM(K9:K16)</f>
        <v>14716</v>
      </c>
      <c r="L17" s="75">
        <f>SUM(L9:L16)</f>
        <v>194</v>
      </c>
      <c r="M17" s="75">
        <f>SUM(M9:M16)</f>
        <v>134</v>
      </c>
      <c r="N17" s="74">
        <f t="shared" si="4"/>
        <v>14776</v>
      </c>
      <c r="O17" s="75">
        <f>SUM(O9:O16)</f>
        <v>0</v>
      </c>
      <c r="P17" s="75">
        <f>SUM(P9:P16)</f>
        <v>0</v>
      </c>
      <c r="Q17" s="74">
        <f t="shared" si="5"/>
        <v>14776</v>
      </c>
      <c r="R17" s="74">
        <f t="shared" si="6"/>
        <v>15592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48</v>
      </c>
      <c r="E22" s="189">
        <v>249</v>
      </c>
      <c r="F22" s="189"/>
      <c r="G22" s="74">
        <f t="shared" si="2"/>
        <v>297</v>
      </c>
      <c r="H22" s="65"/>
      <c r="I22" s="65"/>
      <c r="J22" s="74">
        <f t="shared" si="3"/>
        <v>297</v>
      </c>
      <c r="K22" s="65">
        <v>48</v>
      </c>
      <c r="L22" s="65"/>
      <c r="M22" s="65"/>
      <c r="N22" s="74">
        <f t="shared" si="4"/>
        <v>48</v>
      </c>
      <c r="O22" s="65"/>
      <c r="P22" s="65"/>
      <c r="Q22" s="74">
        <f t="shared" si="5"/>
        <v>48</v>
      </c>
      <c r="R22" s="74">
        <f t="shared" si="6"/>
        <v>249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48</v>
      </c>
      <c r="E25" s="190">
        <f aca="true" t="shared" si="7" ref="E25:P25">SUM(E21:E24)</f>
        <v>249</v>
      </c>
      <c r="F25" s="190">
        <f t="shared" si="7"/>
        <v>0</v>
      </c>
      <c r="G25" s="67">
        <f t="shared" si="2"/>
        <v>297</v>
      </c>
      <c r="H25" s="66">
        <f t="shared" si="7"/>
        <v>0</v>
      </c>
      <c r="I25" s="66">
        <f t="shared" si="7"/>
        <v>0</v>
      </c>
      <c r="J25" s="67">
        <f t="shared" si="3"/>
        <v>297</v>
      </c>
      <c r="K25" s="66">
        <f t="shared" si="7"/>
        <v>48</v>
      </c>
      <c r="L25" s="66">
        <f t="shared" si="7"/>
        <v>0</v>
      </c>
      <c r="M25" s="66">
        <f t="shared" si="7"/>
        <v>0</v>
      </c>
      <c r="N25" s="67">
        <f t="shared" si="4"/>
        <v>48</v>
      </c>
      <c r="O25" s="66">
        <f t="shared" si="7"/>
        <v>0</v>
      </c>
      <c r="P25" s="66">
        <f t="shared" si="7"/>
        <v>0</v>
      </c>
      <c r="Q25" s="67">
        <f t="shared" si="5"/>
        <v>48</v>
      </c>
      <c r="R25" s="67">
        <f t="shared" si="6"/>
        <v>249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30488</v>
      </c>
      <c r="E40" s="438">
        <f>E17+E18+E19+E25+E38+E39</f>
        <v>3345</v>
      </c>
      <c r="F40" s="438">
        <f aca="true" t="shared" si="13" ref="F40:R40">F17+F18+F19+F25+F38+F39</f>
        <v>3168</v>
      </c>
      <c r="G40" s="438">
        <f t="shared" si="13"/>
        <v>30665</v>
      </c>
      <c r="H40" s="438">
        <f t="shared" si="13"/>
        <v>0</v>
      </c>
      <c r="I40" s="438">
        <f t="shared" si="13"/>
        <v>0</v>
      </c>
      <c r="J40" s="438">
        <f t="shared" si="13"/>
        <v>30665</v>
      </c>
      <c r="K40" s="438">
        <f t="shared" si="13"/>
        <v>14764</v>
      </c>
      <c r="L40" s="438">
        <f t="shared" si="13"/>
        <v>194</v>
      </c>
      <c r="M40" s="438">
        <f t="shared" si="13"/>
        <v>134</v>
      </c>
      <c r="N40" s="438">
        <f t="shared" si="13"/>
        <v>14824</v>
      </c>
      <c r="O40" s="438">
        <f t="shared" si="13"/>
        <v>0</v>
      </c>
      <c r="P40" s="438">
        <f t="shared" si="13"/>
        <v>0</v>
      </c>
      <c r="Q40" s="438">
        <f t="shared" si="13"/>
        <v>14824</v>
      </c>
      <c r="R40" s="438">
        <f t="shared" si="13"/>
        <v>15841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597"/>
      <c r="L44" s="597"/>
      <c r="M44" s="597"/>
      <c r="N44" s="597"/>
      <c r="O44" s="598" t="s">
        <v>781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6" t="str">
        <f>'справка №1-БАЛАНС'!E3</f>
        <v>"Слънце Стара Загора - Табак" АД </v>
      </c>
      <c r="C3" s="617"/>
      <c r="D3" s="526" t="s">
        <v>2</v>
      </c>
      <c r="E3" s="107" t="str">
        <f>'справка №1-БАЛАНС'!H3</f>
        <v>833045174Ю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4">
        <f>'справка №1-БАЛАНС'!E5</f>
        <v>43830</v>
      </c>
      <c r="C4" s="615"/>
      <c r="D4" s="527" t="s">
        <v>4</v>
      </c>
      <c r="E4" s="107">
        <f>'справка №1-БАЛАНС'!H4</f>
        <v>319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10650</v>
      </c>
      <c r="D16" s="119">
        <f>+D17+D18</f>
        <v>0</v>
      </c>
      <c r="E16" s="120">
        <f t="shared" si="0"/>
        <v>10650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10650</v>
      </c>
      <c r="D18" s="108"/>
      <c r="E18" s="120">
        <f t="shared" si="0"/>
        <v>10650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10650</v>
      </c>
      <c r="D19" s="104">
        <f>D11+D15+D16</f>
        <v>0</v>
      </c>
      <c r="E19" s="118">
        <f>E11+E15+E16</f>
        <v>10650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8748</v>
      </c>
      <c r="D24" s="119">
        <f>SUM(D25:D27)</f>
        <v>8748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8748</v>
      </c>
      <c r="D25" s="108">
        <v>8748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101</v>
      </c>
      <c r="D28" s="108">
        <v>101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15</v>
      </c>
      <c r="D29" s="108">
        <v>15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>
        <f>10818-10650</f>
        <v>168</v>
      </c>
      <c r="D30" s="108">
        <v>168</v>
      </c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263</v>
      </c>
      <c r="D33" s="105">
        <f>SUM(D34:D37)</f>
        <v>263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263</v>
      </c>
      <c r="D35" s="108">
        <v>263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20</v>
      </c>
      <c r="D38" s="105">
        <f>SUM(D39:D42)</f>
        <v>20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20</v>
      </c>
      <c r="D42" s="108">
        <v>20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9315</v>
      </c>
      <c r="D43" s="104">
        <f>D24+D28+D29+D31+D30+D32+D33+D38</f>
        <v>9315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19965</v>
      </c>
      <c r="D44" s="103">
        <f>D43+D21+D19+D9</f>
        <v>9315</v>
      </c>
      <c r="E44" s="118">
        <f>E43+E21+E19+E9</f>
        <v>10650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1758</v>
      </c>
      <c r="D56" s="103">
        <f>D57+D59</f>
        <v>0</v>
      </c>
      <c r="E56" s="119">
        <f t="shared" si="1"/>
        <v>1758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1758</v>
      </c>
      <c r="D57" s="108"/>
      <c r="E57" s="119">
        <f t="shared" si="1"/>
        <v>1758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1758</v>
      </c>
      <c r="D66" s="103">
        <f>D52+D56+D61+D62+D63+D64</f>
        <v>0</v>
      </c>
      <c r="E66" s="119">
        <f t="shared" si="1"/>
        <v>1758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1227</v>
      </c>
      <c r="D68" s="108"/>
      <c r="E68" s="119">
        <f t="shared" si="1"/>
        <v>1227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135</v>
      </c>
      <c r="D71" s="105">
        <f>SUM(D72:D74)</f>
        <v>135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135</v>
      </c>
      <c r="D72" s="108">
        <v>135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4519</v>
      </c>
      <c r="D75" s="103">
        <f>D76+D78</f>
        <v>4519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4519</v>
      </c>
      <c r="D76" s="108">
        <v>4519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2006</v>
      </c>
      <c r="D85" s="104">
        <f>SUM(D86:D90)+D94</f>
        <v>2006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1177</v>
      </c>
      <c r="D87" s="108">
        <v>1177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430</v>
      </c>
      <c r="D88" s="108">
        <v>430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183</v>
      </c>
      <c r="D89" s="108">
        <v>183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92</v>
      </c>
      <c r="D90" s="103">
        <f>SUM(D91:D93)</f>
        <v>92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92</v>
      </c>
      <c r="D93" s="108">
        <v>92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124</v>
      </c>
      <c r="D94" s="108">
        <v>124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12</v>
      </c>
      <c r="D95" s="108">
        <v>12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6672</v>
      </c>
      <c r="D96" s="104">
        <f>D85+D80+D75+D71+D95</f>
        <v>6672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9657</v>
      </c>
      <c r="D97" s="104">
        <f>D96+D68+D66</f>
        <v>6672</v>
      </c>
      <c r="E97" s="104">
        <f>E96+E68+E66</f>
        <v>2985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868</v>
      </c>
      <c r="B109" s="611"/>
      <c r="C109" s="611" t="s">
        <v>381</v>
      </c>
      <c r="D109" s="611"/>
      <c r="E109" s="611"/>
      <c r="F109" s="61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0" t="s">
        <v>781</v>
      </c>
      <c r="D111" s="610"/>
      <c r="E111" s="610"/>
      <c r="F111" s="61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5" sqref="D3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8" t="str">
        <f>'справка №1-БАЛАНС'!E3</f>
        <v>"Слънце Стара Загора - Табак" АД </v>
      </c>
      <c r="C4" s="618"/>
      <c r="D4" s="618"/>
      <c r="E4" s="618"/>
      <c r="F4" s="618"/>
      <c r="G4" s="624" t="s">
        <v>2</v>
      </c>
      <c r="H4" s="624"/>
      <c r="I4" s="500" t="str">
        <f>'справка №1-БАЛАНС'!H3</f>
        <v>833045174Ю</v>
      </c>
    </row>
    <row r="5" spans="1:9" ht="15">
      <c r="A5" s="501" t="s">
        <v>5</v>
      </c>
      <c r="B5" s="619">
        <f>'справка №1-БАЛАНС'!E5</f>
        <v>43830</v>
      </c>
      <c r="C5" s="619"/>
      <c r="D5" s="619"/>
      <c r="E5" s="619"/>
      <c r="F5" s="619"/>
      <c r="G5" s="622" t="s">
        <v>4</v>
      </c>
      <c r="H5" s="623"/>
      <c r="I5" s="500">
        <f>'справка №1-БАЛАНС'!H4</f>
        <v>319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1"/>
      <c r="C30" s="621"/>
      <c r="D30" s="459" t="s">
        <v>819</v>
      </c>
      <c r="E30" s="620"/>
      <c r="F30" s="620"/>
      <c r="G30" s="620"/>
      <c r="H30" s="420" t="s">
        <v>781</v>
      </c>
      <c r="I30" s="620"/>
      <c r="J30" s="620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14">
      <selection activeCell="I136" sqref="I13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5" t="str">
        <f>'справка №1-БАЛАНС'!E3</f>
        <v>"Слънце Стара Загора - Табак" АД </v>
      </c>
      <c r="C5" s="625"/>
      <c r="D5" s="625"/>
      <c r="E5" s="570" t="s">
        <v>2</v>
      </c>
      <c r="F5" s="451" t="str">
        <f>'справка №1-БАЛАНС'!H3</f>
        <v>833045174Ю</v>
      </c>
    </row>
    <row r="6" spans="1:13" ht="15" customHeight="1">
      <c r="A6" s="27" t="s">
        <v>822</v>
      </c>
      <c r="B6" s="626">
        <f>'справка №1-БАЛАНС'!E5</f>
        <v>43830</v>
      </c>
      <c r="C6" s="626"/>
      <c r="D6" s="510"/>
      <c r="E6" s="569" t="s">
        <v>4</v>
      </c>
      <c r="F6" s="511">
        <f>'справка №1-БАЛАНС'!H4</f>
        <v>319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/>
      <c r="B46" s="40"/>
      <c r="C46" s="441"/>
      <c r="D46" s="572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>
        <v>0</v>
      </c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27" t="s">
        <v>849</v>
      </c>
      <c r="D151" s="627"/>
      <c r="E151" s="627"/>
      <c r="F151" s="627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7" t="s">
        <v>856</v>
      </c>
      <c r="D153" s="627"/>
      <c r="E153" s="627"/>
      <c r="F153" s="627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Cveti</cp:lastModifiedBy>
  <cp:lastPrinted>2019-10-28T08:19:46Z</cp:lastPrinted>
  <dcterms:created xsi:type="dcterms:W3CDTF">2000-06-29T12:02:40Z</dcterms:created>
  <dcterms:modified xsi:type="dcterms:W3CDTF">2020-07-31T07:02:27Z</dcterms:modified>
  <cp:category/>
  <cp:version/>
  <cp:contentType/>
  <cp:contentStatus/>
</cp:coreProperties>
</file>