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4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<sst xmlns="http://schemas.openxmlformats.org/spreadsheetml/2006/main" count="4190" uniqueCount="973">
  <si>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</si>
  <si>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</si>
  <si>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</si>
  <si>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</si>
  <si>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</si>
  <si>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</si>
  <si>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</si>
  <si>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</si>
  <si>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</si>
  <si>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</si>
  <si>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</si>
  <si>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</si>
  <si>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</si>
  <si>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</si>
  <si>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</si>
  <si>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</si>
  <si>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</si>
  <si>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</si>
  <si>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</si>
  <si>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</si>
  <si>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</si>
  <si>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</si>
  <si>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</si>
  <si>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</si>
  <si>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</si>
  <si>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</si>
  <si>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</si>
  <si>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</si>
  <si>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</si>
  <si>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</si>
  <si>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</si>
  <si>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</si>
  <si>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</si>
  <si>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</si>
  <si>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</si>
  <si>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</si>
  <si>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</si>
  <si>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</si>
  <si>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</si>
  <si>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</si>
  <si>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</si>
  <si>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</si>
  <si>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</si>
  <si>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</si>
  <si>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</si>
  <si>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</si>
  <si>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</si>
  <si>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</si>
  <si>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</si>
  <si>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</si>
  <si>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</si>
  <si>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</si>
  <si>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</si>
  <si>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</si>
  <si>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</si>
  <si>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</si>
  <si>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</si>
  <si>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</si>
  <si>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</si>
  <si>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</si>
  <si>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</si>
  <si>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</si>
  <si>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</si>
  <si>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</si>
  <si>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</si>
  <si>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</si>
  <si>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</si>
  <si>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</si>
  <si>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</si>
  <si>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</si>
  <si>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</si>
  <si>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</si>
  <si>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</si>
  <si>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</si>
  <si>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</si>
  <si>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</si>
  <si>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</si>
  <si>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</si>
  <si>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</si>
  <si>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</si>
  <si>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</si>
  <si>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</si>
  <si>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</si>
  <si>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</si>
  <si>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</si>
  <si>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</si>
  <si>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</si>
  <si>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</si>
  <si>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</si>
  <si>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</si>
  <si>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</si>
  <si>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</si>
  <si>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</si>
  <si>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</si>
  <si>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</si>
  <si>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</si>
  <si>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</si>
  <si>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</si>
  <si>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</si>
  <si>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</si>
  <si>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</si>
  <si>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</si>
  <si>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</si>
  <si>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</si>
  <si>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</si>
  <si>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</si>
  <si>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</si>
  <si>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</si>
  <si>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</si>
  <si>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</si>
  <si>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</si>
  <si>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</si>
  <si>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</si>
  <si>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</si>
  <si>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</si>
  <si>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</si>
  <si>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</si>
  <si>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</si>
  <si>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</si>
  <si>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</si>
  <si>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</si>
  <si>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</si>
  <si>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</si>
  <si>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</si>
  <si>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</si>
  <si>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</si>
  <si>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</si>
  <si>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</si>
  <si>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</si>
  <si>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</si>
  <si>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</si>
  <si>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</si>
  <si>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</si>
  <si>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</si>
  <si>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</si>
  <si>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</si>
  <si>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</si>
  <si>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</si>
  <si>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</si>
  <si>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</si>
  <si>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</si>
  <si>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</si>
  <si>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</si>
  <si>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</si>
  <si>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</si>
  <si>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</si>
  <si>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</si>
  <si>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</si>
  <si>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</si>
  <si>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</si>
  <si>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</si>
  <si>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</si>
  <si>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</si>
  <si>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</si>
  <si>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</si>
  <si>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</si>
  <si>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</si>
  <si>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</si>
  <si>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</si>
  <si>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</si>
  <si>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</si>
  <si>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</si>
  <si>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</si>
  <si>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</si>
  <si>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</si>
  <si>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</si>
  <si>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</si>
  <si>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</si>
  <si>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</si>
  <si>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</si>
  <si>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</si>
  <si>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</si>
  <si>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</si>
  <si>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</si>
  <si>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</si>
  <si>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</si>
  <si>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</si>
  <si>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</si>
  <si>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</si>
  <si>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</si>
  <si>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</si>
  <si>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</si>
  <si>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</si>
  <si>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</si>
  <si>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</si>
  <si>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</si>
  <si>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</si>
  <si>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</si>
  <si>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</si>
  <si>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</si>
  <si>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</si>
  <si>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</si>
  <si>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</si>
  <si>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</si>
  <si>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</si>
  <si>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</si>
  <si>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</si>
  <si>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</si>
  <si>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</si>
  <si>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</si>
  <si>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</si>
  <si>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</si>
  <si>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</si>
  <si>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</si>
  <si>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</si>
  <si>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</si>
  <si>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</si>
  <si>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</si>
  <si>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</si>
  <si>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</si>
  <si>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</si>
  <si>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</si>
  <si>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</si>
  <si>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</si>
  <si>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</si>
  <si>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</si>
  <si>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</si>
  <si>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</si>
  <si>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</si>
  <si>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</si>
  <si>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</si>
  <si>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</si>
  <si>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</si>
  <si>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</si>
  <si>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</si>
  <si>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</si>
  <si>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</si>
  <si>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</si>
  <si>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</si>
  <si>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</si>
  <si>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</si>
  <si>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</si>
  <si>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</si>
  <si>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</si>
  <si>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</si>
  <si>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</si>
  <si>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</si>
  <si>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</si>
  <si>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</si>
  <si>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</si>
  <si>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</si>
  <si>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</si>
  <si>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</si>
  <si>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</si>
  <si>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</si>
  <si>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</si>
  <si>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</si>
  <si>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</si>
  <si>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</si>
  <si>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</si>
  <si>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</si>
  <si>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</si>
  <si>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</si>
  <si>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</si>
  <si>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</si>
  <si>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</si>
  <si>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</si>
  <si>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</si>
  <si>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</si>
  <si>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</si>
  <si>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</si>
  <si>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</si>
  <si>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</si>
  <si>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</si>
  <si>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</si>
  <si>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</si>
  <si>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</si>
  <si>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</si>
  <si>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</si>
  <si>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</si>
  <si>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</si>
  <si>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</si>
  <si>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</si>
  <si>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</si>
  <si>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</si>
  <si>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</si>
  <si>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</si>
  <si>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</si>
  <si>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</si>
  <si>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</si>
  <si>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</si>
  <si>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</si>
  <si>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</si>
  <si>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</si>
  <si>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</si>
  <si>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</si>
  <si>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</si>
  <si>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</si>
  <si>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</si>
  <si>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</si>
  <si>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</si>
  <si>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</si>
  <si>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</si>
  <si>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</si>
  <si>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</si>
  <si>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</si>
  <si>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</si>
  <si>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</si>
  <si>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</si>
  <si>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</si>
  <si>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</si>
  <si>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</si>
  <si>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</si>
  <si>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</si>
  <si>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</si>
  <si>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</si>
  <si>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</si>
  <si>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</si>
  <si>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</si>
  <si>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</si>
  <si>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</si>
  <si>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</si>
  <si>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</si>
  <si>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</si>
  <si>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</si>
  <si>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</si>
  <si>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</si>
  <si>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</si>
  <si>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</si>
  <si>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</si>
  <si>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</si>
  <si>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</si>
  <si>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</si>
  <si>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</si>
  <si>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</si>
  <si>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</si>
  <si>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</si>
  <si>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</si>
  <si>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</si>
  <si>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</si>
  <si>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</si>
  <si>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</si>
  <si>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</si>
  <si>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</si>
  <si>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</si>
  <si>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</si>
  <si>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</si>
  <si>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</si>
  <si>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</si>
  <si>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</si>
  <si>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</si>
  <si>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</si>
  <si>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</si>
  <si>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</si>
  <si>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</si>
  <si>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</si>
  <si>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</si>
  <si>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</si>
  <si>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</si>
  <si>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</si>
  <si>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</si>
  <si>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</si>
  <si>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</si>
  <si>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</si>
  <si>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</si>
  <si>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</si>
  <si>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</si>
  <si>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</si>
  <si>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</si>
  <si>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</si>
  <si>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</si>
  <si>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</si>
  <si>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</si>
  <si>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</si>
  <si>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</si>
  <si>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</si>
  <si>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</si>
  <si>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</si>
  <si>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</si>
  <si>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</si>
  <si>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</si>
  <si>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</si>
  <si>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</si>
  <si>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</si>
  <si>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</si>
  <si>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</si>
  <si>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</si>
  <si>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</si>
  <si>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</si>
  <si>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</si>
  <si>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</si>
  <si>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</si>
  <si>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</si>
  <si>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</si>
  <si>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</si>
  <si>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</si>
  <si>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</si>
  <si>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</si>
  <si>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</si>
  <si>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</si>
  <si>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</si>
  <si>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</si>
  <si>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</si>
  <si>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</si>
  <si>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</si>
  <si>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</si>
  <si>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</si>
  <si>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</si>
  <si>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</si>
  <si>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</si>
  <si>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</si>
  <si>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</si>
  <si>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</si>
  <si>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</si>
  <si>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</si>
  <si>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</si>
  <si>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</si>
  <si>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</si>
  <si>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</si>
  <si>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</si>
  <si>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</si>
  <si>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</si>
  <si>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</si>
  <si>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</si>
  <si>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</si>
  <si>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</si>
  <si>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</si>
  <si>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</si>
  <si>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</si>
  <si>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</si>
  <si>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</si>
  <si>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</si>
  <si>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</si>
  <si>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</si>
  <si>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</si>
  <si>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</si>
  <si>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</si>
  <si>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</si>
  <si>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</si>
  <si>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</si>
  <si>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</si>
  <si>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</si>
  <si>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</si>
  <si>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</si>
  <si>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</si>
  <si>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</si>
  <si>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</si>
  <si>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</si>
  <si>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</si>
  <si>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</si>
  <si>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</si>
  <si>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</si>
  <si>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</si>
  <si>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</si>
  <si>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</si>
  <si>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</si>
  <si>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</si>
  <si>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</si>
  <si>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</si>
  <si>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</si>
  <si>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</si>
  <si>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</si>
  <si>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</si>
  <si>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</si>
  <si>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</si>
  <si>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</si>
  <si>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</si>
  <si>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</si>
  <si>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</si>
  <si>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</si>
  <si>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</si>
  <si>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</si>
  <si>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</si>
  <si>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</si>
  <si>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</si>
  <si>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</si>
  <si>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</si>
  <si>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</si>
  <si>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</si>
  <si>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</si>
  <si>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</si>
  <si>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</si>
  <si>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</si>
  <si>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</si>
  <si>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</si>
  <si>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</si>
  <si>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</si>
  <si>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</si>
  <si>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</si>
  <si>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</si>
  <si>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</si>
  <si>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</si>
  <si>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</si>
  <si>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</si>
  <si>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</si>
  <si>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</si>
  <si>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</si>
  <si>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</si>
  <si>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</si>
  <si>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</si>
  <si>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</si>
  <si>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</si>
  <si>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</si>
  <si>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</si>
  <si>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</si>
  <si>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</si>
  <si>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</si>
  <si>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</si>
  <si>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</si>
  <si>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</si>
  <si>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</si>
  <si>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</si>
  <si>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</si>
  <si>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</si>
  <si>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</si>
  <si>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</si>
  <si>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</si>
  <si>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</si>
  <si>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</si>
  <si>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</si>
  <si>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</si>
  <si>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</si>
  <si>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</si>
  <si>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</si>
  <si>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</si>
  <si>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</si>
  <si>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</si>
  <si>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</si>
  <si>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</si>
  <si>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</si>
  <si>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</si>
  <si>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</si>
  <si>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</si>
  <si>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</si>
  <si>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</si>
  <si>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</si>
  <si>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</si>
  <si>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</si>
  <si>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</si>
  <si>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</si>
  <si>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</si>
  <si>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</si>
  <si>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</si>
  <si>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</si>
  <si>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</si>
  <si>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</si>
  <si>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</si>
  <si>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</si>
  <si>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</si>
  <si>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</si>
  <si>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</si>
  <si>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</si>
  <si>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</si>
  <si>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</si>
  <si>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</si>
  <si>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</si>
  <si>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</si>
  <si>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</si>
  <si>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</si>
  <si>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</si>
  <si>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</si>
  <si>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</si>
  <si>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</si>
  <si>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</si>
  <si>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</si>
  <si>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</si>
  <si>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</si>
  <si>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</si>
  <si>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</si>
  <si>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</si>
  <si>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</si>
  <si>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</si>
  <si>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</si>
  <si>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</si>
  <si>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</si>
  <si>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</si>
  <si>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</si>
  <si>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</si>
  <si>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</si>
  <si>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</si>
  <si>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</si>
  <si>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</si>
  <si>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</si>
  <si>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</si>
  <si>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</si>
  <si>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</si>
  <si>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</si>
  <si>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</si>
  <si>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</si>
  <si>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</si>
  <si>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</si>
  <si>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</si>
  <si>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</si>
  <si>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</si>
  <si>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</si>
  <si>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</si>
  <si>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</si>
  <si>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</si>
  <si>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</si>
  <si>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</si>
  <si>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</si>
  <si>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</si>
  <si>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</si>
  <si>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</si>
  <si>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</si>
  <si>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</si>
  <si>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</si>
  <si>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</si>
  <si>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</si>
  <si>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</si>
  <si>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</si>
  <si>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</si>
  <si>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</si>
  <si>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</si>
  <si>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</si>
  <si>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</si>
  <si>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</si>
  <si>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</si>
  <si>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</si>
  <si>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</si>
  <si>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</si>
  <si>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</si>
  <si>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</si>
  <si>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</si>
  <si>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</si>
  <si>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</si>
  <si>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</si>
  <si>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</si>
  <si>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</si>
  <si>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</si>
  <si>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</si>
  <si>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</si>
  <si>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</si>
  <si>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</si>
  <si>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</si>
  <si>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</si>
  <si>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</si>
  <si>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</si>
  <si>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</si>
  <si>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</si>
  <si>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</si>
  <si>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</si>
  <si>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</si>
  <si>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</si>
  <si>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</si>
  <si>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</si>
  <si>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</si>
  <si>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</si>
  <si>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</si>
  <si>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</si>
  <si>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</si>
  <si>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</si>
  <si>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</si>
  <si>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</si>
  <si>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</si>
  <si>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</si>
  <si>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</si>
  <si>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</si>
  <si>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</si>
  <si>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</si>
  <si>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</si>
  <si>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</si>
  <si>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</si>
  <si>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</si>
  <si>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</si>
  <si>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</si>
  <si>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</si>
  <si>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</si>
  <si>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</si>
  <si>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</si>
  <si>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</si>
  <si>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</si>
  <si>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</si>
  <si>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</si>
  <si>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</si>
  <si>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</si>
  <si>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</si>
  <si>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</si>
  <si>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</si>
  <si>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</si>
  <si>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</si>
  <si>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</si>
  <si>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</si>
  <si>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</si>
  <si>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</si>
  <si>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</si>
  <si>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</si>
  <si>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</si>
  <si>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</si>
  <si>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</si>
  <si>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</si>
  <si>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</si>
  <si>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</si>
  <si>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</si>
  <si>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</si>
  <si>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</si>
  <si>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</si>
  <si>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</si>
  <si>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</si>
  <si>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</si>
  <si>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</si>
  <si>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</si>
  <si>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</si>
  <si>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</si>
  <si>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</si>
  <si>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</si>
  <si>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</si>
  <si>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</si>
  <si>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</si>
  <si>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</si>
  <si>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</si>
  <si>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</si>
  <si>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</si>
  <si>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</si>
  <si>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</si>
  <si>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</si>
  <si>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</si>
  <si>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</si>
  <si>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</si>
  <si>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</si>
  <si>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</si>
  <si>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</si>
  <si>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</si>
  <si>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</si>
  <si>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</si>
  <si>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</si>
  <si>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</si>
  <si>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</si>
  <si>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</si>
  <si>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</si>
  <si>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</si>
  <si>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</si>
  <si>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</si>
  <si>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</si>
  <si>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</si>
  <si>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</si>
  <si>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</si>
  <si>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</si>
  <si>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</si>
  <si>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</si>
  <si>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</si>
  <si>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</si>
  <si>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</si>
  <si>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</si>
  <si>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</si>
  <si>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</si>
  <si>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</si>
  <si>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</si>
  <si>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</si>
  <si>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</si>
  <si>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</si>
  <si>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</si>
  <si>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</si>
  <si>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</si>
  <si>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</si>
  <si>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</si>
  <si>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</si>
  <si>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</si>
  <si>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</si>
  <si>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</si>
  <si>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</si>
  <si>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</si>
  <si>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</si>
  <si>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</si>
  <si>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</si>
  <si>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</si>
  <si>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</si>
  <si>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</si>
  <si>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</si>
  <si>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</si>
  <si>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</si>
  <si>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</si>
  <si>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</si>
  <si>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</si>
  <si>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</si>
  <si>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</si>
  <si>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</si>
  <si>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</si>
  <si>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</si>
  <si>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</si>
  <si>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</si>
  <si>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</si>
  <si>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</si>
  <si>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</si>
  <si>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</si>
  <si>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</si>
  <si>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</si>
  <si>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</si>
  <si>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</si>
  <si>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</si>
  <si>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</si>
  <si>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</si>
  <si>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</si>
  <si>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</si>
  <si>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</si>
  <si>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</si>
  <si>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</si>
  <si>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</si>
  <si>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</si>
  <si>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</si>
  <si>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</si>
  <si>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</si>
  <si>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</si>
  <si>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</si>
  <si>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</si>
  <si>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</si>
  <si>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</si>
  <si>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</si>
  <si>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</si>
  <si>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</si>
  <si>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</si>
  <si>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</si>
  <si>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</si>
  <si>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</si>
  <si>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</si>
  <si>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</si>
  <si>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</si>
  <si>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</si>
  <si>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</si>
  <si>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</si>
  <si>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</si>
  <si>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</si>
  <si>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</si>
  <si>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</si>
  <si>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</si>
  <si>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</si>
  <si>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</si>
  <si>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</si>
  <si>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</si>
  <si>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</si>
  <si>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</si>
  <si>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</si>
  <si>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</si>
  <si>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</si>
  <si>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</si>
  <si>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</si>
  <si>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</si>
  <si>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</si>
  <si>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</si>
  <si>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</si>
  <si>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</si>
  <si>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</si>
  <si>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</si>
  <si>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</si>
  <si>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</si>
  <si>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</si>
  <si>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</si>
  <si>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</si>
  <si>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</si>
  <si>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</si>
  <si>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</si>
  <si>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</si>
  <si>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</si>
  <si>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</si>
  <si>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</si>
  <si>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</si>
  <si>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</si>
  <si>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</si>
  <si>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</si>
  <si>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</si>
  <si>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</si>
  <si>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</si>
  <si>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</si>
  <si>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</si>
  <si>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</si>
  <si>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</si>
  <si>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</si>
  <si>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</si>
  <si>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</si>
  <si>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</si>
  <si>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</si>
  <si>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</si>
  <si>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</si>
  <si>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</si>
  <si>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</si>
  <si>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</si>
  <si>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</si>
  <si>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</si>
  <si>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</si>
  <si>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</si>
  <si>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</si>
  <si>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</si>
  <si>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</si>
  <si>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</si>
  <si>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</si>
  <si>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</si>
  <si>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</si>
  <si>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</si>
  <si>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</si>
  <si>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</si>
  <si>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</si>
  <si>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</si>
  <si>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</si>
  <si>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</si>
  <si>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</si>
  <si>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</si>
  <si>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</si>
  <si>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</si>
  <si>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</si>
  <si>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</si>
  <si>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</si>
  <si>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</si>
  <si>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</si>
  <si>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</si>
  <si>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</si>
  <si>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</si>
  <si>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</si>
  <si>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</si>
  <si>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</si>
  <si>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</si>
  <si>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</si>
  <si>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</si>
  <si>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</si>
  <si>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</si>
  <si>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</si>
  <si>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</si>
  <si>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</si>
  <si>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</si>
  <si>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</si>
  <si>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</si>
  <si>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</si>
  <si>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</si>
  <si>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</si>
  <si>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</si>
  <si>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</si>
  <si>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</si>
  <si>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</si>
  <si>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</si>
  <si>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</si>
  <si>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</si>
  <si>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</si>
  <si>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</si>
  <si>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</si>
  <si>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</si>
  <si>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</si>
  <si>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</si>
  <si>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</si>
  <si>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</si>
  <si>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</si>
  <si>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</si>
  <si>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</si>
  <si>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</si>
  <si>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</si>
  <si>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</si>
  <si>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</si>
  <si>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</si>
  <si>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</si>
  <si>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</si>
  <si>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</si>
  <si>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</si>
  <si>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</si>
  <si>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</si>
  <si>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</si>
  <si>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</si>
  <si>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</si>
  <si>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</si>
  <si>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</si>
  <si>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</si>
  <si>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</si>
  <si>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</si>
  <si>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</si>
  <si>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</si>
  <si>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</si>
  <si>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</si>
  <si>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</si>
  <si>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</si>
  <si>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</si>
  <si>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</si>
  <si>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</si>
  <si>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</si>
  <si>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</si>
  <si>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</si>
  <si>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</si>
  <si>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Сирма Груп Холдинг АД</t>
  </si>
  <si>
    <t>200101236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</si>
  <si>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</si>
  <si>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</si>
  <si>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</si>
  <si>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</si>
  <si>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</si>
  <si>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главен счетоводител</t>
  </si>
  <si>
    <t>Цветан Борисов Алексиев</t>
  </si>
  <si>
    <t>Диана Петкова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</si>
</sst>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49" fontId="49" fillId="35" borderId="54" xfId="55" applyNumberFormat="1" applyFont="1" applyFill="1" applyBorder="1" applyAlignment="1" applyProtection="1">
      <alignment/>
      <protection locked="0"/>
    </xf>
    <xf numFmtId="49" fontId="49" fillId="35" borderId="11" xfId="55" applyNumberFormat="1" applyFont="1" applyFill="1" applyBorder="1" applyAlignment="1" applyProtection="1">
      <alignment/>
      <protection locked="0"/>
    </xf>
    <xf numFmtId="49" fontId="49" fillId="35" borderId="14" xfId="55" applyNumberFormat="1" applyFont="1" applyFill="1" applyBorder="1" applyAlignment="1" applyProtection="1">
      <alignment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H_SPRAVKA_4_CONS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Контроли"/>
      <sheetName val="Показатели"/>
      <sheetName val="Danni"/>
      <sheetName val="Nomenklaturi"/>
    </sheetNames>
    <sheetDataSet>
      <sheetData sheetId="2">
        <row r="44">
          <cell r="G44">
            <v>1845</v>
          </cell>
          <cell r="H44">
            <v>11527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9" sqref="B9:B11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936</v>
      </c>
      <c r="B1" s="2"/>
      <c r="Z1" s="659">
        <v>1</v>
      </c>
      <c r="AA1" s="660">
        <f>IF(ISBLANK(_endDate),"",_endDate)</f>
        <v>45291</v>
      </c>
    </row>
    <row r="2" spans="1:27" ht="15.75">
      <c r="A2" s="650" t="s">
        <v>937</v>
      </c>
      <c r="B2" s="645"/>
      <c r="Z2" s="659">
        <v>2</v>
      </c>
      <c r="AA2" s="660">
        <f>IF(ISBLANK(_pdeReportingDate),"",_pdeReportingDate)</f>
        <v>45408</v>
      </c>
    </row>
    <row r="3" spans="1:27" ht="15.75">
      <c r="A3" s="646" t="s">
        <v>934</v>
      </c>
      <c r="B3" s="647"/>
      <c r="Z3" s="659">
        <v>3</v>
      </c>
      <c r="AA3" s="660" t="str">
        <f>IF(ISBLANK(_authorName),"",_authorName)</f>
        <v>Диана Петкова</v>
      </c>
    </row>
    <row r="4" spans="1:2" ht="15.75">
      <c r="A4" s="644" t="s">
        <v>961</v>
      </c>
      <c r="B4" s="645"/>
    </row>
    <row r="5" spans="1:2" ht="47.25">
      <c r="A5" s="648" t="s">
        <v>902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44927</v>
      </c>
    </row>
    <row r="10" spans="1:2" ht="15.75">
      <c r="A10" s="7" t="s">
        <v>2</v>
      </c>
      <c r="B10" s="544">
        <v>45291</v>
      </c>
    </row>
    <row r="11" spans="1:2" ht="15.75">
      <c r="A11" s="7" t="s">
        <v>949</v>
      </c>
      <c r="B11" s="544">
        <v>45408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3" t="s">
        <v>963</v>
      </c>
    </row>
    <row r="15" spans="1:2" ht="15.75">
      <c r="A15" s="10" t="s">
        <v>941</v>
      </c>
      <c r="B15" s="545" t="s">
        <v>897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971</v>
      </c>
    </row>
    <row r="18" spans="1:2" ht="15.75">
      <c r="A18" s="7" t="s">
        <v>893</v>
      </c>
      <c r="B18" s="543" t="s">
        <v>965</v>
      </c>
    </row>
    <row r="19" spans="1:2" ht="15.75">
      <c r="A19" s="7" t="s">
        <v>4</v>
      </c>
      <c r="B19" s="543" t="s">
        <v>966</v>
      </c>
    </row>
    <row r="20" spans="1:2" ht="15.75">
      <c r="A20" s="7" t="s">
        <v>5</v>
      </c>
      <c r="B20" s="543" t="s">
        <v>966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708" t="s">
        <v>967</v>
      </c>
    </row>
    <row r="24" spans="1:2" ht="15.75">
      <c r="A24" s="10" t="s">
        <v>892</v>
      </c>
      <c r="B24" s="709" t="s">
        <v>968</v>
      </c>
    </row>
    <row r="25" spans="1:2" ht="15.75">
      <c r="A25" s="7" t="s">
        <v>895</v>
      </c>
      <c r="B25" s="710" t="s">
        <v>969</v>
      </c>
    </row>
    <row r="26" spans="1:2" ht="15.75">
      <c r="A26" s="10" t="s">
        <v>942</v>
      </c>
      <c r="B26" s="545" t="s">
        <v>972</v>
      </c>
    </row>
    <row r="27" spans="1:2" ht="15.75">
      <c r="A27" s="10" t="s">
        <v>943</v>
      </c>
      <c r="B27" s="545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-0.02269428522226869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-0.02443708609271523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-0.1160815402038505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-0.01931532663316583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0.9826160439427778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2.754978742447975</v>
      </c>
    </row>
    <row r="11" spans="1:4" ht="63">
      <c r="A11" s="557">
        <v>7</v>
      </c>
      <c r="B11" s="555" t="s">
        <v>872</v>
      </c>
      <c r="C11" s="556" t="s">
        <v>938</v>
      </c>
      <c r="D11" s="606">
        <f>('1-Баланс'!C76+'1-Баланс'!C85+'1-Баланс'!C92)/'1-Баланс'!G79</f>
        <v>2.570075333780861</v>
      </c>
    </row>
    <row r="12" spans="1:4" ht="47.25">
      <c r="A12" s="557">
        <v>8</v>
      </c>
      <c r="B12" s="555" t="s">
        <v>873</v>
      </c>
      <c r="C12" s="556" t="s">
        <v>939</v>
      </c>
      <c r="D12" s="606">
        <f>('1-Баланс'!C85+'1-Баланс'!C92)/'1-Баланс'!G79</f>
        <v>1.3415380025359886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1.0959946296710674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2.4883080313418215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0.851109715242881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905</v>
      </c>
      <c r="C18" s="556" t="s">
        <v>878</v>
      </c>
      <c r="D18" s="606">
        <f>'1-Баланс'!G56/('1-Баланс'!G37+'1-Баланс'!G56)</f>
        <v>0.03188993037301089</v>
      </c>
    </row>
    <row r="19" spans="1:4" ht="31.5">
      <c r="A19" s="557">
        <v>13</v>
      </c>
      <c r="B19" s="555" t="s">
        <v>906</v>
      </c>
      <c r="C19" s="556" t="s">
        <v>880</v>
      </c>
      <c r="D19" s="606">
        <f>D4/D5</f>
        <v>0.21051655629139074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0.16639447236180907</v>
      </c>
    </row>
    <row r="21" spans="1:5" ht="15.75">
      <c r="A21" s="557">
        <v>15</v>
      </c>
      <c r="B21" s="555" t="s">
        <v>883</v>
      </c>
      <c r="C21" s="556" t="s">
        <v>884</v>
      </c>
      <c r="D21" s="643">
        <f>'2-Отчет за доходите'!C37+'2-Отчет за доходите'!C25</f>
        <v>163</v>
      </c>
      <c r="E21" s="658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0.0021589403973509935</v>
      </c>
    </row>
    <row r="23" spans="1:4" ht="31.5">
      <c r="A23" s="557">
        <v>17</v>
      </c>
      <c r="B23" s="555" t="s">
        <v>952</v>
      </c>
      <c r="C23" s="556" t="s">
        <v>953</v>
      </c>
      <c r="D23" s="612">
        <f>(D21+'2-Отчет за доходите'!C14)/'2-Отчет за доходите'!G31</f>
        <v>0.04861477977762762</v>
      </c>
    </row>
    <row r="24" spans="1:4" ht="31.5">
      <c r="A24" s="557">
        <v>18</v>
      </c>
      <c r="B24" s="555" t="s">
        <v>954</v>
      </c>
      <c r="C24" s="556" t="s">
        <v>955</v>
      </c>
      <c r="D24" s="612">
        <f>('1-Баланс'!G56+'1-Баланс'!G79)/(D21+'2-Отчет за доходите'!C14)</f>
        <v>4.016679302501895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6365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1176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243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289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244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1864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10181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4221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914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10501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4751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20387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26252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26252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295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295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1469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58584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150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1954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2104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99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15725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234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413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16471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3292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3292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3292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92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14527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70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5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14694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375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36936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95520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-1799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57562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2501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6456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6254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202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8957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10826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10826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-1845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8981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75500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4126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328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1283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596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2207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280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2487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1167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10628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532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3755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1822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2923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608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988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1535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13330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77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13407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95520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1565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12221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3794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35359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3642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23237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0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2071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81889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163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6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249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528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946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82835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0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82835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0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22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0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22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0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383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0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82857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26654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53874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770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81298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27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53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80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81395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1440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81395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1440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1462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1845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82857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84663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-41383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-36959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-2345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-352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0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-823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2801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-3950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1249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0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164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6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-7079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18537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-148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0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8779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-1206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50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-12433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-767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-126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-3342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-208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-18032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45291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-6452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45291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21146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45291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14694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45291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14619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45291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75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45291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59276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45291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45291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45291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45291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59276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45291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45291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45291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45291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45291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45291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45291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45291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45291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45291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45291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45291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45291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-1714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45291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57562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45291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45291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45291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57562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45291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3083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45291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45291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45291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45291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3083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45291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45291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45291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45291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45291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45291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45291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45291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45291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45291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45291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45291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45291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-582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45291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2501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45291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45291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45291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2501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45291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45291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45291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45291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45291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45291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45291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45291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45291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45291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45291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45291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45291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45291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45291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45291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45291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45291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45291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45291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45291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45291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45291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3898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45291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45291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45291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45291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3898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45291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45291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282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45291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45291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282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45291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45291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45291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45291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45291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45291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45291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45291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45291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2074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45291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6254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45291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45291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45291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6254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45291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45291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45291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45291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45291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45291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45291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45291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45291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45291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45291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45291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45291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45291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45291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45291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45291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45291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45291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45291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45291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45291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45291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62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45291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45291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45291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45291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62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45291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45291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45291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45291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45291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45291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45291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45291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45291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45291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45291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45291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45291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45291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62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45291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140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45291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45291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202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45291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30764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45291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45291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45291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45291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30764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45291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45291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-3475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45291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-3193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45291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-282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45291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45291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45291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45291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45291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45291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45291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45291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45291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-4936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45291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22353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45291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45291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45291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22353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45291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-11527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45291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45291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45291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45291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-11527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45291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-1845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45291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45291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45291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45291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45291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45291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45291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45291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45291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45291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45291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45291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45291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-13372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45291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45291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45291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-13372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45291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45291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45291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45291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45291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45291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45291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45291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45291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45291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45291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45291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45291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45291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45291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45291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45291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45291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45291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45291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45291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45291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45291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85556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45291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45291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45291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45291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85556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45291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-1845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45291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-3193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45291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-3193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45291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45291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45291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45291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45291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45291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45291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45291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45291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45291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-5158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45291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75360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45291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140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45291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45291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75500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45291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4995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45291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45291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45291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45291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4995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45291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383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45291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-404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45291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-404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45291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45291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45291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45291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45291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45291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45291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45291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45291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45291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-848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45291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4126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45291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45291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45291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4126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45291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45291</v>
      </c>
      <c r="D462" s="99" t="s">
        <v>526</v>
      </c>
      <c r="E462" s="479">
        <v>1</v>
      </c>
      <c r="F462" s="99" t="s">
        <v>525</v>
      </c>
      <c r="H462" s="99">
        <f>'Справка 6'!D12</f>
        <v>7407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45291</v>
      </c>
      <c r="D463" s="99" t="s">
        <v>529</v>
      </c>
      <c r="E463" s="479">
        <v>1</v>
      </c>
      <c r="F463" s="99" t="s">
        <v>528</v>
      </c>
      <c r="H463" s="99">
        <f>'Справка 6'!D13</f>
        <v>7258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45291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45291</v>
      </c>
      <c r="D465" s="99" t="s">
        <v>535</v>
      </c>
      <c r="E465" s="479">
        <v>1</v>
      </c>
      <c r="F465" s="99" t="s">
        <v>534</v>
      </c>
      <c r="H465" s="99">
        <f>'Справка 6'!D15</f>
        <v>470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45291</v>
      </c>
      <c r="D466" s="99" t="s">
        <v>537</v>
      </c>
      <c r="E466" s="479">
        <v>1</v>
      </c>
      <c r="F466" s="99" t="s">
        <v>536</v>
      </c>
      <c r="H466" s="99">
        <f>'Справка 6'!D16</f>
        <v>688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45291</v>
      </c>
      <c r="D467" s="99" t="s">
        <v>540</v>
      </c>
      <c r="E467" s="479">
        <v>1</v>
      </c>
      <c r="F467" s="99" t="s">
        <v>539</v>
      </c>
      <c r="H467" s="99">
        <f>'Справка 6'!D17</f>
        <v>20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45291</v>
      </c>
      <c r="D468" s="99" t="s">
        <v>543</v>
      </c>
      <c r="E468" s="479">
        <v>1</v>
      </c>
      <c r="F468" s="99" t="s">
        <v>542</v>
      </c>
      <c r="H468" s="99">
        <f>'Справка 6'!D18</f>
        <v>4124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45291</v>
      </c>
      <c r="D469" s="99" t="s">
        <v>545</v>
      </c>
      <c r="E469" s="479">
        <v>1</v>
      </c>
      <c r="F469" s="99" t="s">
        <v>804</v>
      </c>
      <c r="H469" s="99">
        <f>'Справка 6'!D19</f>
        <v>19967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45291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45291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45291</v>
      </c>
      <c r="D472" s="99" t="s">
        <v>553</v>
      </c>
      <c r="E472" s="479">
        <v>1</v>
      </c>
      <c r="F472" s="99" t="s">
        <v>552</v>
      </c>
      <c r="H472" s="99">
        <f>'Справка 6'!D23</f>
        <v>11347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45291</v>
      </c>
      <c r="D473" s="99" t="s">
        <v>555</v>
      </c>
      <c r="E473" s="479">
        <v>1</v>
      </c>
      <c r="F473" s="99" t="s">
        <v>554</v>
      </c>
      <c r="H473" s="99">
        <f>'Справка 6'!D24</f>
        <v>2499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45291</v>
      </c>
      <c r="D474" s="99" t="s">
        <v>557</v>
      </c>
      <c r="E474" s="479">
        <v>1</v>
      </c>
      <c r="F474" s="99" t="s">
        <v>556</v>
      </c>
      <c r="H474" s="99">
        <f>'Справка 6'!D25</f>
        <v>31279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45291</v>
      </c>
      <c r="D475" s="99" t="s">
        <v>558</v>
      </c>
      <c r="E475" s="479">
        <v>1</v>
      </c>
      <c r="F475" s="99" t="s">
        <v>542</v>
      </c>
      <c r="H475" s="99">
        <f>'Справка 6'!D26</f>
        <v>6787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45291</v>
      </c>
      <c r="D476" s="99" t="s">
        <v>560</v>
      </c>
      <c r="E476" s="479">
        <v>1</v>
      </c>
      <c r="F476" s="99" t="s">
        <v>838</v>
      </c>
      <c r="H476" s="99">
        <f>'Справка 6'!D27</f>
        <v>51912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45291</v>
      </c>
      <c r="D477" s="99" t="s">
        <v>562</v>
      </c>
      <c r="E477" s="479">
        <v>1</v>
      </c>
      <c r="F477" s="99" t="s">
        <v>561</v>
      </c>
      <c r="H477" s="99">
        <f>'Справка 6'!D29</f>
        <v>18502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45291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45291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45291</v>
      </c>
      <c r="D480" s="99" t="s">
        <v>565</v>
      </c>
      <c r="E480" s="479">
        <v>1</v>
      </c>
      <c r="F480" s="99" t="s">
        <v>113</v>
      </c>
      <c r="H480" s="99">
        <f>'Справка 6'!D32</f>
        <v>18502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45291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45291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45291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45291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45291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45291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45291</v>
      </c>
      <c r="D487" s="99" t="s">
        <v>576</v>
      </c>
      <c r="E487" s="479">
        <v>1</v>
      </c>
      <c r="F487" s="99" t="s">
        <v>542</v>
      </c>
      <c r="H487" s="99">
        <f>'Справка 6'!D39</f>
        <v>336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45291</v>
      </c>
      <c r="D488" s="99" t="s">
        <v>578</v>
      </c>
      <c r="E488" s="479">
        <v>1</v>
      </c>
      <c r="F488" s="99" t="s">
        <v>803</v>
      </c>
      <c r="H488" s="99">
        <f>'Справка 6'!D40</f>
        <v>18838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45291</v>
      </c>
      <c r="D489" s="99" t="s">
        <v>581</v>
      </c>
      <c r="E489" s="479">
        <v>1</v>
      </c>
      <c r="F489" s="99" t="s">
        <v>580</v>
      </c>
      <c r="H489" s="99">
        <f>'Справка 6'!D41</f>
        <v>26252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45291</v>
      </c>
      <c r="D490" s="99" t="s">
        <v>583</v>
      </c>
      <c r="E490" s="479">
        <v>1</v>
      </c>
      <c r="F490" s="99" t="s">
        <v>582</v>
      </c>
      <c r="H490" s="99">
        <f>'Справка 6'!D42</f>
        <v>116969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45291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45291</v>
      </c>
      <c r="D492" s="99" t="s">
        <v>526</v>
      </c>
      <c r="E492" s="479">
        <v>2</v>
      </c>
      <c r="F492" s="99" t="s">
        <v>525</v>
      </c>
      <c r="H492" s="99">
        <f>'Справка 6'!E12</f>
        <v>44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45291</v>
      </c>
      <c r="D493" s="99" t="s">
        <v>529</v>
      </c>
      <c r="E493" s="479">
        <v>2</v>
      </c>
      <c r="F493" s="99" t="s">
        <v>528</v>
      </c>
      <c r="H493" s="99">
        <f>'Справка 6'!E13</f>
        <v>674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45291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45291</v>
      </c>
      <c r="D495" s="99" t="s">
        <v>535</v>
      </c>
      <c r="E495" s="479">
        <v>2</v>
      </c>
      <c r="F495" s="99" t="s">
        <v>534</v>
      </c>
      <c r="H495" s="99">
        <f>'Справка 6'!E15</f>
        <v>151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45291</v>
      </c>
      <c r="D496" s="99" t="s">
        <v>537</v>
      </c>
      <c r="E496" s="479">
        <v>2</v>
      </c>
      <c r="F496" s="99" t="s">
        <v>536</v>
      </c>
      <c r="H496" s="99">
        <f>'Справка 6'!E16</f>
        <v>78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45291</v>
      </c>
      <c r="D497" s="99" t="s">
        <v>540</v>
      </c>
      <c r="E497" s="479">
        <v>2</v>
      </c>
      <c r="F497" s="99" t="s">
        <v>539</v>
      </c>
      <c r="H497" s="99">
        <f>'Справка 6'!E17</f>
        <v>373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45291</v>
      </c>
      <c r="D498" s="99" t="s">
        <v>543</v>
      </c>
      <c r="E498" s="479">
        <v>2</v>
      </c>
      <c r="F498" s="99" t="s">
        <v>542</v>
      </c>
      <c r="H498" s="99">
        <f>'Справка 6'!E18</f>
        <v>1503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45291</v>
      </c>
      <c r="D499" s="99" t="s">
        <v>545</v>
      </c>
      <c r="E499" s="479">
        <v>2</v>
      </c>
      <c r="F499" s="99" t="s">
        <v>804</v>
      </c>
      <c r="H499" s="99">
        <f>'Справка 6'!E19</f>
        <v>2823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45291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45291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45291</v>
      </c>
      <c r="D502" s="99" t="s">
        <v>553</v>
      </c>
      <c r="E502" s="479">
        <v>2</v>
      </c>
      <c r="F502" s="99" t="s">
        <v>552</v>
      </c>
      <c r="H502" s="99">
        <f>'Справка 6'!E23</f>
        <v>1250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45291</v>
      </c>
      <c r="D503" s="99" t="s">
        <v>555</v>
      </c>
      <c r="E503" s="479">
        <v>2</v>
      </c>
      <c r="F503" s="99" t="s">
        <v>554</v>
      </c>
      <c r="H503" s="99">
        <f>'Справка 6'!E24</f>
        <v>264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45291</v>
      </c>
      <c r="D504" s="99" t="s">
        <v>557</v>
      </c>
      <c r="E504" s="479">
        <v>2</v>
      </c>
      <c r="F504" s="99" t="s">
        <v>556</v>
      </c>
      <c r="H504" s="99">
        <f>'Справка 6'!E25</f>
        <v>2627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45291</v>
      </c>
      <c r="D505" s="99" t="s">
        <v>558</v>
      </c>
      <c r="E505" s="479">
        <v>2</v>
      </c>
      <c r="F505" s="99" t="s">
        <v>542</v>
      </c>
      <c r="H505" s="99">
        <f>'Справка 6'!E26</f>
        <v>436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45291</v>
      </c>
      <c r="D506" s="99" t="s">
        <v>560</v>
      </c>
      <c r="E506" s="479">
        <v>2</v>
      </c>
      <c r="F506" s="99" t="s">
        <v>838</v>
      </c>
      <c r="H506" s="99">
        <f>'Справка 6'!E27</f>
        <v>4577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45291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45291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45291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45291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45291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45291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45291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45291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45291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45291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45291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45291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45291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45291</v>
      </c>
      <c r="D520" s="99" t="s">
        <v>583</v>
      </c>
      <c r="E520" s="479">
        <v>2</v>
      </c>
      <c r="F520" s="99" t="s">
        <v>582</v>
      </c>
      <c r="H520" s="99">
        <f>'Справка 6'!E42</f>
        <v>7400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45291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45291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45291</v>
      </c>
      <c r="D523" s="99" t="s">
        <v>529</v>
      </c>
      <c r="E523" s="479">
        <v>3</v>
      </c>
      <c r="F523" s="99" t="s">
        <v>528</v>
      </c>
      <c r="H523" s="99">
        <f>'Справка 6'!F13</f>
        <v>195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45291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45291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45291</v>
      </c>
      <c r="D526" s="99" t="s">
        <v>537</v>
      </c>
      <c r="E526" s="479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45291</v>
      </c>
      <c r="D527" s="99" t="s">
        <v>540</v>
      </c>
      <c r="E527" s="479">
        <v>3</v>
      </c>
      <c r="F527" s="99" t="s">
        <v>539</v>
      </c>
      <c r="H527" s="99">
        <f>'Справка 6'!F17</f>
        <v>149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45291</v>
      </c>
      <c r="D528" s="99" t="s">
        <v>543</v>
      </c>
      <c r="E528" s="479">
        <v>3</v>
      </c>
      <c r="F528" s="99" t="s">
        <v>542</v>
      </c>
      <c r="H528" s="99">
        <f>'Справка 6'!F18</f>
        <v>1861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45291</v>
      </c>
      <c r="D529" s="99" t="s">
        <v>545</v>
      </c>
      <c r="E529" s="479">
        <v>3</v>
      </c>
      <c r="F529" s="99" t="s">
        <v>804</v>
      </c>
      <c r="H529" s="99">
        <f>'Справка 6'!F19</f>
        <v>2205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45291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45291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45291</v>
      </c>
      <c r="D532" s="99" t="s">
        <v>553</v>
      </c>
      <c r="E532" s="479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45291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45291</v>
      </c>
      <c r="D534" s="99" t="s">
        <v>557</v>
      </c>
      <c r="E534" s="479">
        <v>3</v>
      </c>
      <c r="F534" s="99" t="s">
        <v>556</v>
      </c>
      <c r="H534" s="99">
        <f>'Справка 6'!F25</f>
        <v>5241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45291</v>
      </c>
      <c r="D535" s="99" t="s">
        <v>558</v>
      </c>
      <c r="E535" s="479">
        <v>3</v>
      </c>
      <c r="F535" s="99" t="s">
        <v>542</v>
      </c>
      <c r="H535" s="99">
        <f>'Справка 6'!F26</f>
        <v>95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45291</v>
      </c>
      <c r="D536" s="99" t="s">
        <v>560</v>
      </c>
      <c r="E536" s="479">
        <v>3</v>
      </c>
      <c r="F536" s="99" t="s">
        <v>838</v>
      </c>
      <c r="H536" s="99">
        <f>'Справка 6'!F27</f>
        <v>5336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45291</v>
      </c>
      <c r="D537" s="99" t="s">
        <v>562</v>
      </c>
      <c r="E537" s="479">
        <v>3</v>
      </c>
      <c r="F537" s="99" t="s">
        <v>561</v>
      </c>
      <c r="H537" s="99">
        <f>'Справка 6'!F29</f>
        <v>18502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45291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45291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45291</v>
      </c>
      <c r="D540" s="99" t="s">
        <v>565</v>
      </c>
      <c r="E540" s="479">
        <v>3</v>
      </c>
      <c r="F540" s="99" t="s">
        <v>113</v>
      </c>
      <c r="H540" s="99">
        <f>'Справка 6'!F32</f>
        <v>18502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45291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45291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45291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45291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45291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45291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45291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45291</v>
      </c>
      <c r="D548" s="99" t="s">
        <v>578</v>
      </c>
      <c r="E548" s="479">
        <v>3</v>
      </c>
      <c r="F548" s="99" t="s">
        <v>803</v>
      </c>
      <c r="H548" s="99">
        <f>'Справка 6'!F40</f>
        <v>18502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45291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45291</v>
      </c>
      <c r="D550" s="99" t="s">
        <v>583</v>
      </c>
      <c r="E550" s="479">
        <v>3</v>
      </c>
      <c r="F550" s="99" t="s">
        <v>582</v>
      </c>
      <c r="H550" s="99">
        <f>'Справка 6'!F42</f>
        <v>26043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45291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45291</v>
      </c>
      <c r="D552" s="99" t="s">
        <v>526</v>
      </c>
      <c r="E552" s="479">
        <v>4</v>
      </c>
      <c r="F552" s="99" t="s">
        <v>525</v>
      </c>
      <c r="H552" s="99">
        <f>'Справка 6'!G12</f>
        <v>7451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45291</v>
      </c>
      <c r="D553" s="99" t="s">
        <v>529</v>
      </c>
      <c r="E553" s="479">
        <v>4</v>
      </c>
      <c r="F553" s="99" t="s">
        <v>528</v>
      </c>
      <c r="H553" s="99">
        <f>'Справка 6'!G13</f>
        <v>7737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45291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45291</v>
      </c>
      <c r="D555" s="99" t="s">
        <v>535</v>
      </c>
      <c r="E555" s="479">
        <v>4</v>
      </c>
      <c r="F555" s="99" t="s">
        <v>534</v>
      </c>
      <c r="H555" s="99">
        <f>'Справка 6'!G15</f>
        <v>621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45291</v>
      </c>
      <c r="D556" s="99" t="s">
        <v>537</v>
      </c>
      <c r="E556" s="479">
        <v>4</v>
      </c>
      <c r="F556" s="99" t="s">
        <v>536</v>
      </c>
      <c r="H556" s="99">
        <f>'Справка 6'!G16</f>
        <v>766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45291</v>
      </c>
      <c r="D557" s="99" t="s">
        <v>540</v>
      </c>
      <c r="E557" s="479">
        <v>4</v>
      </c>
      <c r="F557" s="99" t="s">
        <v>539</v>
      </c>
      <c r="H557" s="99">
        <f>'Справка 6'!G17</f>
        <v>244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45291</v>
      </c>
      <c r="D558" s="99" t="s">
        <v>543</v>
      </c>
      <c r="E558" s="479">
        <v>4</v>
      </c>
      <c r="F558" s="99" t="s">
        <v>542</v>
      </c>
      <c r="H558" s="99">
        <f>'Справка 6'!G18</f>
        <v>3766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45291</v>
      </c>
      <c r="D559" s="99" t="s">
        <v>545</v>
      </c>
      <c r="E559" s="479">
        <v>4</v>
      </c>
      <c r="F559" s="99" t="s">
        <v>804</v>
      </c>
      <c r="H559" s="99">
        <f>'Справка 6'!G19</f>
        <v>20585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45291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45291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45291</v>
      </c>
      <c r="D562" s="99" t="s">
        <v>553</v>
      </c>
      <c r="E562" s="479">
        <v>4</v>
      </c>
      <c r="F562" s="99" t="s">
        <v>552</v>
      </c>
      <c r="H562" s="99">
        <f>'Справка 6'!G23</f>
        <v>12597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45291</v>
      </c>
      <c r="D563" s="99" t="s">
        <v>555</v>
      </c>
      <c r="E563" s="479">
        <v>4</v>
      </c>
      <c r="F563" s="99" t="s">
        <v>554</v>
      </c>
      <c r="H563" s="99">
        <f>'Справка 6'!G24</f>
        <v>2763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45291</v>
      </c>
      <c r="D564" s="99" t="s">
        <v>557</v>
      </c>
      <c r="E564" s="479">
        <v>4</v>
      </c>
      <c r="F564" s="99" t="s">
        <v>556</v>
      </c>
      <c r="H564" s="99">
        <f>'Справка 6'!G25</f>
        <v>28665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45291</v>
      </c>
      <c r="D565" s="99" t="s">
        <v>558</v>
      </c>
      <c r="E565" s="479">
        <v>4</v>
      </c>
      <c r="F565" s="99" t="s">
        <v>542</v>
      </c>
      <c r="H565" s="99">
        <f>'Справка 6'!G26</f>
        <v>7128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45291</v>
      </c>
      <c r="D566" s="99" t="s">
        <v>560</v>
      </c>
      <c r="E566" s="479">
        <v>4</v>
      </c>
      <c r="F566" s="99" t="s">
        <v>838</v>
      </c>
      <c r="H566" s="99">
        <f>'Справка 6'!G27</f>
        <v>51153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45291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45291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45291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45291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45291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45291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45291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45291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45291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45291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45291</v>
      </c>
      <c r="D577" s="99" t="s">
        <v>576</v>
      </c>
      <c r="E577" s="479">
        <v>4</v>
      </c>
      <c r="F577" s="99" t="s">
        <v>542</v>
      </c>
      <c r="H577" s="99">
        <f>'Справка 6'!G39</f>
        <v>336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45291</v>
      </c>
      <c r="D578" s="99" t="s">
        <v>578</v>
      </c>
      <c r="E578" s="479">
        <v>4</v>
      </c>
      <c r="F578" s="99" t="s">
        <v>803</v>
      </c>
      <c r="H578" s="99">
        <f>'Справка 6'!G40</f>
        <v>336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45291</v>
      </c>
      <c r="D579" s="99" t="s">
        <v>581</v>
      </c>
      <c r="E579" s="479">
        <v>4</v>
      </c>
      <c r="F579" s="99" t="s">
        <v>580</v>
      </c>
      <c r="H579" s="99">
        <f>'Справка 6'!G41</f>
        <v>26252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45291</v>
      </c>
      <c r="D580" s="99" t="s">
        <v>583</v>
      </c>
      <c r="E580" s="479">
        <v>4</v>
      </c>
      <c r="F580" s="99" t="s">
        <v>582</v>
      </c>
      <c r="H580" s="99">
        <f>'Справка 6'!G42</f>
        <v>98326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45291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45291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45291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45291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45291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45291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45291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45291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45291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45291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45291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45291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45291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45291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45291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45291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45291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45291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45291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45291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45291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45291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45291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45291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45291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45291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45291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45291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45291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45291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45291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45291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45291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45291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45291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45291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45291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45291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45291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45291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45291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45291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45291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45291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45291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45291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45291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45291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45291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45291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45291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45291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45291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45291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45291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45291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45291</v>
      </c>
      <c r="D637" s="99" t="s">
        <v>576</v>
      </c>
      <c r="E637" s="479">
        <v>6</v>
      </c>
      <c r="F637" s="99" t="s">
        <v>542</v>
      </c>
      <c r="H637" s="99">
        <f>'Справка 6'!I39</f>
        <v>336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45291</v>
      </c>
      <c r="D638" s="99" t="s">
        <v>578</v>
      </c>
      <c r="E638" s="479">
        <v>6</v>
      </c>
      <c r="F638" s="99" t="s">
        <v>803</v>
      </c>
      <c r="H638" s="99">
        <f>'Справка 6'!I40</f>
        <v>336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45291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45291</v>
      </c>
      <c r="D640" s="99" t="s">
        <v>583</v>
      </c>
      <c r="E640" s="479">
        <v>6</v>
      </c>
      <c r="F640" s="99" t="s">
        <v>582</v>
      </c>
      <c r="H640" s="99">
        <f>'Справка 6'!I42</f>
        <v>336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45291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45291</v>
      </c>
      <c r="D642" s="99" t="s">
        <v>526</v>
      </c>
      <c r="E642" s="479">
        <v>7</v>
      </c>
      <c r="F642" s="99" t="s">
        <v>525</v>
      </c>
      <c r="H642" s="99">
        <f>'Справка 6'!J12</f>
        <v>7451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45291</v>
      </c>
      <c r="D643" s="99" t="s">
        <v>529</v>
      </c>
      <c r="E643" s="479">
        <v>7</v>
      </c>
      <c r="F643" s="99" t="s">
        <v>528</v>
      </c>
      <c r="H643" s="99">
        <f>'Справка 6'!J13</f>
        <v>7737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45291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45291</v>
      </c>
      <c r="D645" s="99" t="s">
        <v>535</v>
      </c>
      <c r="E645" s="479">
        <v>7</v>
      </c>
      <c r="F645" s="99" t="s">
        <v>534</v>
      </c>
      <c r="H645" s="99">
        <f>'Справка 6'!J15</f>
        <v>621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45291</v>
      </c>
      <c r="D646" s="99" t="s">
        <v>537</v>
      </c>
      <c r="E646" s="479">
        <v>7</v>
      </c>
      <c r="F646" s="99" t="s">
        <v>536</v>
      </c>
      <c r="H646" s="99">
        <f>'Справка 6'!J16</f>
        <v>766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45291</v>
      </c>
      <c r="D647" s="99" t="s">
        <v>540</v>
      </c>
      <c r="E647" s="479">
        <v>7</v>
      </c>
      <c r="F647" s="99" t="s">
        <v>539</v>
      </c>
      <c r="H647" s="99">
        <f>'Справка 6'!J17</f>
        <v>244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45291</v>
      </c>
      <c r="D648" s="99" t="s">
        <v>543</v>
      </c>
      <c r="E648" s="479">
        <v>7</v>
      </c>
      <c r="F648" s="99" t="s">
        <v>542</v>
      </c>
      <c r="H648" s="99">
        <f>'Справка 6'!J18</f>
        <v>3766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45291</v>
      </c>
      <c r="D649" s="99" t="s">
        <v>545</v>
      </c>
      <c r="E649" s="479">
        <v>7</v>
      </c>
      <c r="F649" s="99" t="s">
        <v>804</v>
      </c>
      <c r="H649" s="99">
        <f>'Справка 6'!J19</f>
        <v>20585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45291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45291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45291</v>
      </c>
      <c r="D652" s="99" t="s">
        <v>553</v>
      </c>
      <c r="E652" s="479">
        <v>7</v>
      </c>
      <c r="F652" s="99" t="s">
        <v>552</v>
      </c>
      <c r="H652" s="99">
        <f>'Справка 6'!J23</f>
        <v>12597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45291</v>
      </c>
      <c r="D653" s="99" t="s">
        <v>555</v>
      </c>
      <c r="E653" s="479">
        <v>7</v>
      </c>
      <c r="F653" s="99" t="s">
        <v>554</v>
      </c>
      <c r="H653" s="99">
        <f>'Справка 6'!J24</f>
        <v>2763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45291</v>
      </c>
      <c r="D654" s="99" t="s">
        <v>557</v>
      </c>
      <c r="E654" s="479">
        <v>7</v>
      </c>
      <c r="F654" s="99" t="s">
        <v>556</v>
      </c>
      <c r="H654" s="99">
        <f>'Справка 6'!J25</f>
        <v>28665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45291</v>
      </c>
      <c r="D655" s="99" t="s">
        <v>558</v>
      </c>
      <c r="E655" s="479">
        <v>7</v>
      </c>
      <c r="F655" s="99" t="s">
        <v>542</v>
      </c>
      <c r="H655" s="99">
        <f>'Справка 6'!J26</f>
        <v>7128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45291</v>
      </c>
      <c r="D656" s="99" t="s">
        <v>560</v>
      </c>
      <c r="E656" s="479">
        <v>7</v>
      </c>
      <c r="F656" s="99" t="s">
        <v>838</v>
      </c>
      <c r="H656" s="99">
        <f>'Справка 6'!J27</f>
        <v>51153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45291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45291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45291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45291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45291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45291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45291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45291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45291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45291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45291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45291</v>
      </c>
      <c r="D668" s="99" t="s">
        <v>578</v>
      </c>
      <c r="E668" s="479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45291</v>
      </c>
      <c r="D669" s="99" t="s">
        <v>581</v>
      </c>
      <c r="E669" s="479">
        <v>7</v>
      </c>
      <c r="F669" s="99" t="s">
        <v>580</v>
      </c>
      <c r="H669" s="99">
        <f>'Справка 6'!J41</f>
        <v>26252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45291</v>
      </c>
      <c r="D670" s="99" t="s">
        <v>583</v>
      </c>
      <c r="E670" s="479">
        <v>7</v>
      </c>
      <c r="F670" s="99" t="s">
        <v>582</v>
      </c>
      <c r="H670" s="99">
        <f>'Справка 6'!J42</f>
        <v>97990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45291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45291</v>
      </c>
      <c r="D672" s="99" t="s">
        <v>526</v>
      </c>
      <c r="E672" s="479">
        <v>8</v>
      </c>
      <c r="F672" s="99" t="s">
        <v>525</v>
      </c>
      <c r="H672" s="99">
        <f>'Справка 6'!K12</f>
        <v>986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45291</v>
      </c>
      <c r="D673" s="99" t="s">
        <v>529</v>
      </c>
      <c r="E673" s="479">
        <v>8</v>
      </c>
      <c r="F673" s="99" t="s">
        <v>528</v>
      </c>
      <c r="H673" s="99">
        <f>'Справка 6'!K13</f>
        <v>6235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45291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45291</v>
      </c>
      <c r="D675" s="99" t="s">
        <v>535</v>
      </c>
      <c r="E675" s="479">
        <v>8</v>
      </c>
      <c r="F675" s="99" t="s">
        <v>534</v>
      </c>
      <c r="H675" s="99">
        <f>'Справка 6'!K15</f>
        <v>296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45291</v>
      </c>
      <c r="D676" s="99" t="s">
        <v>537</v>
      </c>
      <c r="E676" s="479">
        <v>8</v>
      </c>
      <c r="F676" s="99" t="s">
        <v>536</v>
      </c>
      <c r="H676" s="99">
        <f>'Справка 6'!K16</f>
        <v>396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45291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45291</v>
      </c>
      <c r="D678" s="99" t="s">
        <v>543</v>
      </c>
      <c r="E678" s="479">
        <v>8</v>
      </c>
      <c r="F678" s="99" t="s">
        <v>542</v>
      </c>
      <c r="H678" s="99">
        <f>'Справка 6'!K18</f>
        <v>2173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45291</v>
      </c>
      <c r="D679" s="99" t="s">
        <v>545</v>
      </c>
      <c r="E679" s="479">
        <v>8</v>
      </c>
      <c r="F679" s="99" t="s">
        <v>804</v>
      </c>
      <c r="H679" s="99">
        <f>'Справка 6'!K19</f>
        <v>10086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45291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45291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45291</v>
      </c>
      <c r="D682" s="99" t="s">
        <v>553</v>
      </c>
      <c r="E682" s="479">
        <v>8</v>
      </c>
      <c r="F682" s="99" t="s">
        <v>552</v>
      </c>
      <c r="H682" s="99">
        <f>'Справка 6'!K23</f>
        <v>7301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45291</v>
      </c>
      <c r="D683" s="99" t="s">
        <v>555</v>
      </c>
      <c r="E683" s="479">
        <v>8</v>
      </c>
      <c r="F683" s="99" t="s">
        <v>554</v>
      </c>
      <c r="H683" s="99">
        <f>'Справка 6'!K24</f>
        <v>1774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45291</v>
      </c>
      <c r="D684" s="99" t="s">
        <v>557</v>
      </c>
      <c r="E684" s="479">
        <v>8</v>
      </c>
      <c r="F684" s="99" t="s">
        <v>556</v>
      </c>
      <c r="H684" s="99">
        <f>'Справка 6'!K25</f>
        <v>20204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45291</v>
      </c>
      <c r="D685" s="99" t="s">
        <v>558</v>
      </c>
      <c r="E685" s="479">
        <v>8</v>
      </c>
      <c r="F685" s="99" t="s">
        <v>542</v>
      </c>
      <c r="H685" s="99">
        <f>'Справка 6'!K26</f>
        <v>1927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45291</v>
      </c>
      <c r="D686" s="99" t="s">
        <v>560</v>
      </c>
      <c r="E686" s="479">
        <v>8</v>
      </c>
      <c r="F686" s="99" t="s">
        <v>838</v>
      </c>
      <c r="H686" s="99">
        <f>'Справка 6'!K27</f>
        <v>31206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45291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45291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45291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45291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45291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45291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45291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45291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45291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45291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45291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45291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45291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45291</v>
      </c>
      <c r="D700" s="99" t="s">
        <v>583</v>
      </c>
      <c r="E700" s="479">
        <v>8</v>
      </c>
      <c r="F700" s="99" t="s">
        <v>582</v>
      </c>
      <c r="H700" s="99">
        <f>'Справка 6'!K42</f>
        <v>41292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45291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45291</v>
      </c>
      <c r="D702" s="99" t="s">
        <v>526</v>
      </c>
      <c r="E702" s="479">
        <v>9</v>
      </c>
      <c r="F702" s="99" t="s">
        <v>525</v>
      </c>
      <c r="H702" s="99">
        <f>'Справка 6'!L12</f>
        <v>100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45291</v>
      </c>
      <c r="D703" s="99" t="s">
        <v>529</v>
      </c>
      <c r="E703" s="479">
        <v>9</v>
      </c>
      <c r="F703" s="99" t="s">
        <v>528</v>
      </c>
      <c r="H703" s="99">
        <f>'Справка 6'!L13</f>
        <v>519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45291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45291</v>
      </c>
      <c r="D705" s="99" t="s">
        <v>535</v>
      </c>
      <c r="E705" s="479">
        <v>9</v>
      </c>
      <c r="F705" s="99" t="s">
        <v>534</v>
      </c>
      <c r="H705" s="99">
        <f>'Справка 6'!L15</f>
        <v>82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45291</v>
      </c>
      <c r="D706" s="99" t="s">
        <v>537</v>
      </c>
      <c r="E706" s="479">
        <v>9</v>
      </c>
      <c r="F706" s="99" t="s">
        <v>536</v>
      </c>
      <c r="H706" s="99">
        <f>'Справка 6'!L16</f>
        <v>81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45291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45291</v>
      </c>
      <c r="D708" s="99" t="s">
        <v>543</v>
      </c>
      <c r="E708" s="479">
        <v>9</v>
      </c>
      <c r="F708" s="99" t="s">
        <v>542</v>
      </c>
      <c r="H708" s="99">
        <f>'Справка 6'!L18</f>
        <v>648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45291</v>
      </c>
      <c r="D709" s="99" t="s">
        <v>545</v>
      </c>
      <c r="E709" s="479">
        <v>9</v>
      </c>
      <c r="F709" s="99" t="s">
        <v>804</v>
      </c>
      <c r="H709" s="99">
        <f>'Справка 6'!L19</f>
        <v>1430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45291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45291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45291</v>
      </c>
      <c r="D712" s="99" t="s">
        <v>553</v>
      </c>
      <c r="E712" s="479">
        <v>9</v>
      </c>
      <c r="F712" s="99" t="s">
        <v>552</v>
      </c>
      <c r="H712" s="99">
        <f>'Справка 6'!L23</f>
        <v>1075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45291</v>
      </c>
      <c r="D713" s="99" t="s">
        <v>555</v>
      </c>
      <c r="E713" s="479">
        <v>9</v>
      </c>
      <c r="F713" s="99" t="s">
        <v>554</v>
      </c>
      <c r="H713" s="99">
        <f>'Справка 6'!L24</f>
        <v>75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45291</v>
      </c>
      <c r="D714" s="99" t="s">
        <v>557</v>
      </c>
      <c r="E714" s="479">
        <v>9</v>
      </c>
      <c r="F714" s="99" t="s">
        <v>556</v>
      </c>
      <c r="H714" s="99">
        <f>'Справка 6'!L25</f>
        <v>746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45291</v>
      </c>
      <c r="D715" s="99" t="s">
        <v>558</v>
      </c>
      <c r="E715" s="479">
        <v>9</v>
      </c>
      <c r="F715" s="99" t="s">
        <v>542</v>
      </c>
      <c r="H715" s="99">
        <f>'Справка 6'!L26</f>
        <v>468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45291</v>
      </c>
      <c r="D716" s="99" t="s">
        <v>560</v>
      </c>
      <c r="E716" s="479">
        <v>9</v>
      </c>
      <c r="F716" s="99" t="s">
        <v>838</v>
      </c>
      <c r="H716" s="99">
        <f>'Справка 6'!L27</f>
        <v>2364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45291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45291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45291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45291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45291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45291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45291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45291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45291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45291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45291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45291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45291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45291</v>
      </c>
      <c r="D730" s="99" t="s">
        <v>583</v>
      </c>
      <c r="E730" s="479">
        <v>9</v>
      </c>
      <c r="F730" s="99" t="s">
        <v>582</v>
      </c>
      <c r="H730" s="99">
        <f>'Справка 6'!L42</f>
        <v>3794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45291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45291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45291</v>
      </c>
      <c r="D733" s="99" t="s">
        <v>529</v>
      </c>
      <c r="E733" s="479">
        <v>10</v>
      </c>
      <c r="F733" s="99" t="s">
        <v>528</v>
      </c>
      <c r="H733" s="99">
        <f>'Справка 6'!M13</f>
        <v>193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45291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45291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45291</v>
      </c>
      <c r="D736" s="99" t="s">
        <v>537</v>
      </c>
      <c r="E736" s="479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45291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45291</v>
      </c>
      <c r="D738" s="99" t="s">
        <v>543</v>
      </c>
      <c r="E738" s="479">
        <v>10</v>
      </c>
      <c r="F738" s="99" t="s">
        <v>542</v>
      </c>
      <c r="H738" s="99">
        <f>'Справка 6'!M18</f>
        <v>919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45291</v>
      </c>
      <c r="D739" s="99" t="s">
        <v>545</v>
      </c>
      <c r="E739" s="479">
        <v>10</v>
      </c>
      <c r="F739" s="99" t="s">
        <v>804</v>
      </c>
      <c r="H739" s="99">
        <f>'Справка 6'!M19</f>
        <v>1112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45291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45291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45291</v>
      </c>
      <c r="D742" s="99" t="s">
        <v>553</v>
      </c>
      <c r="E742" s="479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45291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45291</v>
      </c>
      <c r="D744" s="99" t="s">
        <v>557</v>
      </c>
      <c r="E744" s="479">
        <v>10</v>
      </c>
      <c r="F744" s="99" t="s">
        <v>556</v>
      </c>
      <c r="H744" s="99">
        <f>'Справка 6'!M25</f>
        <v>2786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45291</v>
      </c>
      <c r="D745" s="99" t="s">
        <v>558</v>
      </c>
      <c r="E745" s="479">
        <v>10</v>
      </c>
      <c r="F745" s="99" t="s">
        <v>542</v>
      </c>
      <c r="H745" s="99">
        <f>'Справка 6'!M26</f>
        <v>18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45291</v>
      </c>
      <c r="D746" s="99" t="s">
        <v>560</v>
      </c>
      <c r="E746" s="479">
        <v>10</v>
      </c>
      <c r="F746" s="99" t="s">
        <v>838</v>
      </c>
      <c r="H746" s="99">
        <f>'Справка 6'!M27</f>
        <v>2804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45291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45291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45291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45291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45291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45291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45291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45291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45291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45291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45291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45291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45291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45291</v>
      </c>
      <c r="D760" s="99" t="s">
        <v>583</v>
      </c>
      <c r="E760" s="479">
        <v>10</v>
      </c>
      <c r="F760" s="99" t="s">
        <v>582</v>
      </c>
      <c r="H760" s="99">
        <f>'Справка 6'!M42</f>
        <v>3916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45291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45291</v>
      </c>
      <c r="D762" s="99" t="s">
        <v>526</v>
      </c>
      <c r="E762" s="479">
        <v>11</v>
      </c>
      <c r="F762" s="99" t="s">
        <v>525</v>
      </c>
      <c r="H762" s="99">
        <f>'Справка 6'!N12</f>
        <v>1086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45291</v>
      </c>
      <c r="D763" s="99" t="s">
        <v>529</v>
      </c>
      <c r="E763" s="479">
        <v>11</v>
      </c>
      <c r="F763" s="99" t="s">
        <v>528</v>
      </c>
      <c r="H763" s="99">
        <f>'Справка 6'!N13</f>
        <v>6561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45291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45291</v>
      </c>
      <c r="D765" s="99" t="s">
        <v>535</v>
      </c>
      <c r="E765" s="479">
        <v>11</v>
      </c>
      <c r="F765" s="99" t="s">
        <v>534</v>
      </c>
      <c r="H765" s="99">
        <f>'Справка 6'!N15</f>
        <v>378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45291</v>
      </c>
      <c r="D766" s="99" t="s">
        <v>537</v>
      </c>
      <c r="E766" s="479">
        <v>11</v>
      </c>
      <c r="F766" s="99" t="s">
        <v>536</v>
      </c>
      <c r="H766" s="99">
        <f>'Справка 6'!N16</f>
        <v>477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45291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45291</v>
      </c>
      <c r="D768" s="99" t="s">
        <v>543</v>
      </c>
      <c r="E768" s="479">
        <v>11</v>
      </c>
      <c r="F768" s="99" t="s">
        <v>542</v>
      </c>
      <c r="H768" s="99">
        <f>'Справка 6'!N18</f>
        <v>1902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45291</v>
      </c>
      <c r="D769" s="99" t="s">
        <v>545</v>
      </c>
      <c r="E769" s="479">
        <v>11</v>
      </c>
      <c r="F769" s="99" t="s">
        <v>804</v>
      </c>
      <c r="H769" s="99">
        <f>'Справка 6'!N19</f>
        <v>10404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45291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45291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45291</v>
      </c>
      <c r="D772" s="99" t="s">
        <v>553</v>
      </c>
      <c r="E772" s="479">
        <v>11</v>
      </c>
      <c r="F772" s="99" t="s">
        <v>552</v>
      </c>
      <c r="H772" s="99">
        <f>'Справка 6'!N23</f>
        <v>8376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45291</v>
      </c>
      <c r="D773" s="99" t="s">
        <v>555</v>
      </c>
      <c r="E773" s="479">
        <v>11</v>
      </c>
      <c r="F773" s="99" t="s">
        <v>554</v>
      </c>
      <c r="H773" s="99">
        <f>'Справка 6'!N24</f>
        <v>1849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45291</v>
      </c>
      <c r="D774" s="99" t="s">
        <v>557</v>
      </c>
      <c r="E774" s="479">
        <v>11</v>
      </c>
      <c r="F774" s="99" t="s">
        <v>556</v>
      </c>
      <c r="H774" s="99">
        <f>'Справка 6'!N25</f>
        <v>18164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45291</v>
      </c>
      <c r="D775" s="99" t="s">
        <v>558</v>
      </c>
      <c r="E775" s="479">
        <v>11</v>
      </c>
      <c r="F775" s="99" t="s">
        <v>542</v>
      </c>
      <c r="H775" s="99">
        <f>'Справка 6'!N26</f>
        <v>2377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45291</v>
      </c>
      <c r="D776" s="99" t="s">
        <v>560</v>
      </c>
      <c r="E776" s="479">
        <v>11</v>
      </c>
      <c r="F776" s="99" t="s">
        <v>838</v>
      </c>
      <c r="H776" s="99">
        <f>'Справка 6'!N27</f>
        <v>30766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45291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45291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45291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45291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45291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45291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45291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45291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45291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45291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45291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45291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45291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45291</v>
      </c>
      <c r="D790" s="99" t="s">
        <v>583</v>
      </c>
      <c r="E790" s="479">
        <v>11</v>
      </c>
      <c r="F790" s="99" t="s">
        <v>582</v>
      </c>
      <c r="H790" s="99">
        <f>'Справка 6'!N42</f>
        <v>41170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45291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45291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45291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45291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45291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45291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45291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45291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45291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45291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45291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45291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45291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45291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45291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45291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45291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45291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45291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45291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45291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45291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45291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45291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45291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45291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45291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45291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45291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45291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45291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45291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45291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45291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45291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45291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45291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45291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45291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45291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45291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45291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45291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45291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45291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45291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45291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45291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45291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45291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45291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45291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45291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45291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45291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45291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45291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45291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45291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45291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45291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45291</v>
      </c>
      <c r="D852" s="99" t="s">
        <v>526</v>
      </c>
      <c r="E852" s="479">
        <v>14</v>
      </c>
      <c r="F852" s="99" t="s">
        <v>525</v>
      </c>
      <c r="H852" s="99">
        <f>'Справка 6'!Q12</f>
        <v>1086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45291</v>
      </c>
      <c r="D853" s="99" t="s">
        <v>529</v>
      </c>
      <c r="E853" s="479">
        <v>14</v>
      </c>
      <c r="F853" s="99" t="s">
        <v>528</v>
      </c>
      <c r="H853" s="99">
        <f>'Справка 6'!Q13</f>
        <v>6561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45291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45291</v>
      </c>
      <c r="D855" s="99" t="s">
        <v>535</v>
      </c>
      <c r="E855" s="479">
        <v>14</v>
      </c>
      <c r="F855" s="99" t="s">
        <v>534</v>
      </c>
      <c r="H855" s="99">
        <f>'Справка 6'!Q15</f>
        <v>378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45291</v>
      </c>
      <c r="D856" s="99" t="s">
        <v>537</v>
      </c>
      <c r="E856" s="479">
        <v>14</v>
      </c>
      <c r="F856" s="99" t="s">
        <v>536</v>
      </c>
      <c r="H856" s="99">
        <f>'Справка 6'!Q16</f>
        <v>477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45291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45291</v>
      </c>
      <c r="D858" s="99" t="s">
        <v>543</v>
      </c>
      <c r="E858" s="479">
        <v>14</v>
      </c>
      <c r="F858" s="99" t="s">
        <v>542</v>
      </c>
      <c r="H858" s="99">
        <f>'Справка 6'!Q18</f>
        <v>1902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45291</v>
      </c>
      <c r="D859" s="99" t="s">
        <v>545</v>
      </c>
      <c r="E859" s="479">
        <v>14</v>
      </c>
      <c r="F859" s="99" t="s">
        <v>804</v>
      </c>
      <c r="H859" s="99">
        <f>'Справка 6'!Q19</f>
        <v>10404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45291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45291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45291</v>
      </c>
      <c r="D862" s="99" t="s">
        <v>553</v>
      </c>
      <c r="E862" s="479">
        <v>14</v>
      </c>
      <c r="F862" s="99" t="s">
        <v>552</v>
      </c>
      <c r="H862" s="99">
        <f>'Справка 6'!Q23</f>
        <v>8376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45291</v>
      </c>
      <c r="D863" s="99" t="s">
        <v>555</v>
      </c>
      <c r="E863" s="479">
        <v>14</v>
      </c>
      <c r="F863" s="99" t="s">
        <v>554</v>
      </c>
      <c r="H863" s="99">
        <f>'Справка 6'!Q24</f>
        <v>1849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45291</v>
      </c>
      <c r="D864" s="99" t="s">
        <v>557</v>
      </c>
      <c r="E864" s="479">
        <v>14</v>
      </c>
      <c r="F864" s="99" t="s">
        <v>556</v>
      </c>
      <c r="H864" s="99">
        <f>'Справка 6'!Q25</f>
        <v>18164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45291</v>
      </c>
      <c r="D865" s="99" t="s">
        <v>558</v>
      </c>
      <c r="E865" s="479">
        <v>14</v>
      </c>
      <c r="F865" s="99" t="s">
        <v>542</v>
      </c>
      <c r="H865" s="99">
        <f>'Справка 6'!Q26</f>
        <v>2377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45291</v>
      </c>
      <c r="D866" s="99" t="s">
        <v>560</v>
      </c>
      <c r="E866" s="479">
        <v>14</v>
      </c>
      <c r="F866" s="99" t="s">
        <v>838</v>
      </c>
      <c r="H866" s="99">
        <f>'Справка 6'!Q27</f>
        <v>30766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45291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45291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45291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45291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45291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45291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45291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45291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45291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45291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45291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45291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45291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45291</v>
      </c>
      <c r="D880" s="99" t="s">
        <v>583</v>
      </c>
      <c r="E880" s="479">
        <v>14</v>
      </c>
      <c r="F880" s="99" t="s">
        <v>582</v>
      </c>
      <c r="H880" s="99">
        <f>'Справка 6'!Q42</f>
        <v>41170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45291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45291</v>
      </c>
      <c r="D882" s="99" t="s">
        <v>526</v>
      </c>
      <c r="E882" s="479">
        <v>15</v>
      </c>
      <c r="F882" s="99" t="s">
        <v>525</v>
      </c>
      <c r="H882" s="99">
        <f>'Справка 6'!R12</f>
        <v>6365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45291</v>
      </c>
      <c r="D883" s="99" t="s">
        <v>529</v>
      </c>
      <c r="E883" s="479">
        <v>15</v>
      </c>
      <c r="F883" s="99" t="s">
        <v>528</v>
      </c>
      <c r="H883" s="99">
        <f>'Справка 6'!R13</f>
        <v>1176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45291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45291</v>
      </c>
      <c r="D885" s="99" t="s">
        <v>535</v>
      </c>
      <c r="E885" s="479">
        <v>15</v>
      </c>
      <c r="F885" s="99" t="s">
        <v>534</v>
      </c>
      <c r="H885" s="99">
        <f>'Справка 6'!R15</f>
        <v>243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45291</v>
      </c>
      <c r="D886" s="99" t="s">
        <v>537</v>
      </c>
      <c r="E886" s="479">
        <v>15</v>
      </c>
      <c r="F886" s="99" t="s">
        <v>536</v>
      </c>
      <c r="H886" s="99">
        <f>'Справка 6'!R16</f>
        <v>289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45291</v>
      </c>
      <c r="D887" s="99" t="s">
        <v>540</v>
      </c>
      <c r="E887" s="479">
        <v>15</v>
      </c>
      <c r="F887" s="99" t="s">
        <v>539</v>
      </c>
      <c r="H887" s="99">
        <f>'Справка 6'!R17</f>
        <v>244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45291</v>
      </c>
      <c r="D888" s="99" t="s">
        <v>543</v>
      </c>
      <c r="E888" s="479">
        <v>15</v>
      </c>
      <c r="F888" s="99" t="s">
        <v>542</v>
      </c>
      <c r="H888" s="99">
        <f>'Справка 6'!R18</f>
        <v>1864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45291</v>
      </c>
      <c r="D889" s="99" t="s">
        <v>545</v>
      </c>
      <c r="E889" s="479">
        <v>15</v>
      </c>
      <c r="F889" s="99" t="s">
        <v>804</v>
      </c>
      <c r="H889" s="99">
        <f>'Справка 6'!R19</f>
        <v>10181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45291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45291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45291</v>
      </c>
      <c r="D892" s="99" t="s">
        <v>553</v>
      </c>
      <c r="E892" s="479">
        <v>15</v>
      </c>
      <c r="F892" s="99" t="s">
        <v>552</v>
      </c>
      <c r="H892" s="99">
        <f>'Справка 6'!R23</f>
        <v>4221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45291</v>
      </c>
      <c r="D893" s="99" t="s">
        <v>555</v>
      </c>
      <c r="E893" s="479">
        <v>15</v>
      </c>
      <c r="F893" s="99" t="s">
        <v>554</v>
      </c>
      <c r="H893" s="99">
        <f>'Справка 6'!R24</f>
        <v>914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45291</v>
      </c>
      <c r="D894" s="99" t="s">
        <v>557</v>
      </c>
      <c r="E894" s="479">
        <v>15</v>
      </c>
      <c r="F894" s="99" t="s">
        <v>556</v>
      </c>
      <c r="H894" s="99">
        <f>'Справка 6'!R25</f>
        <v>10501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45291</v>
      </c>
      <c r="D895" s="99" t="s">
        <v>558</v>
      </c>
      <c r="E895" s="479">
        <v>15</v>
      </c>
      <c r="F895" s="99" t="s">
        <v>542</v>
      </c>
      <c r="H895" s="99">
        <f>'Справка 6'!R26</f>
        <v>4751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45291</v>
      </c>
      <c r="D896" s="99" t="s">
        <v>560</v>
      </c>
      <c r="E896" s="479">
        <v>15</v>
      </c>
      <c r="F896" s="99" t="s">
        <v>838</v>
      </c>
      <c r="H896" s="99">
        <f>'Справка 6'!R27</f>
        <v>20387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45291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45291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45291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45291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45291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45291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45291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45291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45291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45291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45291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45291</v>
      </c>
      <c r="D908" s="99" t="s">
        <v>578</v>
      </c>
      <c r="E908" s="479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45291</v>
      </c>
      <c r="D909" s="99" t="s">
        <v>581</v>
      </c>
      <c r="E909" s="479">
        <v>15</v>
      </c>
      <c r="F909" s="99" t="s">
        <v>580</v>
      </c>
      <c r="H909" s="99">
        <f>'Справка 6'!R41</f>
        <v>26252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45291</v>
      </c>
      <c r="D910" s="99" t="s">
        <v>583</v>
      </c>
      <c r="E910" s="479">
        <v>15</v>
      </c>
      <c r="F910" s="99" t="s">
        <v>582</v>
      </c>
      <c r="H910" s="99">
        <f>'Справка 6'!R42</f>
        <v>56820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45291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45291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295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45291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295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45291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45291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45291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45291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45291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45291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45291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295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45291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1469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45291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99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45291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45291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99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45291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0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45291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15725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45291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234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45291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0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45291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45291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45291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413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45291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27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45291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386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45291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45291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45291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0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45291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45291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45291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45291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0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45291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16471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45291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18235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45291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45291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45291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45291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45291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45291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45291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45291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45291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45291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45291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45291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99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45291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45291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99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45291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45291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14216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45291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6167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45291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0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45291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45291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45291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413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45291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27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45291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386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45291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45291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45291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0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45291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45291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45291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45291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0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45291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20895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45291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20895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45291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45291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295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45291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295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45291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45291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45291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45291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45291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45291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45291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295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45291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1469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45291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45291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45291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45291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45291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1509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45291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-5933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45291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45291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45291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45291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45291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45291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45291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45291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45291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45291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45291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45291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45291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45291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-4424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45291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-2660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45291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328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45291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45291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45291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328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45291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0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45291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0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45291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45291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45291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45291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45291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45291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45291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1879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45291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1283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45291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2207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45291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280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45291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532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45291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29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45291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244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45291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259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45291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1167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45291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578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45291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45291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589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45291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45291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45291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45291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45291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45291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45291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10096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45291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45291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3755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45291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1822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45291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2923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45291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988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45291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61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45291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0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45291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927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45291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608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45291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1612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45291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13407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45291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15894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45291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45291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45291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45291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45291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45291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45291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45291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45291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45291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45291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45291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45291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45291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45291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45291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45291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532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45291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29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45291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244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45291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259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45291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1167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45291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578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45291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45291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589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45291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45291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45291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45291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45291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45291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45291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10096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45291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45291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3755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45291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1822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45291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2923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45291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988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45291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61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45291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0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45291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927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45291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608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45291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1612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45291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13407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45291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13407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45291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328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45291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45291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45291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328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45291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0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45291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0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45291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45291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45291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45291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45291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45291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45291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1879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45291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1283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45291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2207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45291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280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45291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45291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45291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45291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45291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45291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45291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45291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45291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45291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45291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45291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45291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45291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45291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45291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45291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45291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45291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45291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45291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45291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45291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45291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45291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45291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45291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2487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45291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45291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45291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45291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45291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45291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45291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45291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45291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45291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45291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45291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45291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45291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45291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45291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45291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45291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45291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45291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45291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45291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45291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45291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45291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45291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45291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45291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45291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45291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45291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45291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45291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45291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45291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45291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45291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45291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45291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45291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45291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45291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45291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45291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45291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45291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77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45291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77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45291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45291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45291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45291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45291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45291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45291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45291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45291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45291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45291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77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45291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77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45291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45291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45291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45291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45291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45291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45291</v>
      </c>
      <c r="D1204" s="99" t="s">
        <v>774</v>
      </c>
      <c r="E1204" s="99">
        <v>1</v>
      </c>
      <c r="F1204" s="99" t="s">
        <v>773</v>
      </c>
      <c r="H1204" s="481">
        <f>'Справка 8'!C21</f>
        <v>1813355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45291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45291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45291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45291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45291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45291</v>
      </c>
      <c r="D1210" s="99" t="s">
        <v>786</v>
      </c>
      <c r="E1210" s="99">
        <v>1</v>
      </c>
      <c r="F1210" s="99" t="s">
        <v>771</v>
      </c>
      <c r="H1210" s="481">
        <f>'Справка 8'!C27</f>
        <v>1813355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45291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45291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45291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45291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45291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45291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45291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45291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45291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45291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45291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45291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45291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45291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45291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45291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45291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45291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45291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45291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45291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45291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45291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45291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45291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45291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45291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45291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45291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45291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45291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45291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45291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45291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45291</v>
      </c>
      <c r="D1246" s="99" t="s">
        <v>774</v>
      </c>
      <c r="E1246" s="99">
        <v>4</v>
      </c>
      <c r="F1246" s="99" t="s">
        <v>773</v>
      </c>
      <c r="H1246" s="481">
        <f>'Справка 8'!F21</f>
        <v>1799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45291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45291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45291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45291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45291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45291</v>
      </c>
      <c r="D1252" s="99" t="s">
        <v>786</v>
      </c>
      <c r="E1252" s="99">
        <v>4</v>
      </c>
      <c r="F1252" s="99" t="s">
        <v>771</v>
      </c>
      <c r="H1252" s="481">
        <f>'Справка 8'!F27</f>
        <v>1799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45291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45291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45291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45291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45291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45291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45291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45291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45291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45291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45291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45291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45291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45291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45291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45291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45291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45291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45291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45291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45291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45291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45291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45291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45291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45291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45291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45291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45291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45291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45291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45291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45291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45291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45291</v>
      </c>
      <c r="D1288" s="99" t="s">
        <v>774</v>
      </c>
      <c r="E1288" s="99">
        <v>7</v>
      </c>
      <c r="F1288" s="99" t="s">
        <v>773</v>
      </c>
      <c r="H1288" s="481">
        <f>'Справка 8'!I21</f>
        <v>1799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45291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45291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45291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45291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45291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45291</v>
      </c>
      <c r="D1294" s="99" t="s">
        <v>786</v>
      </c>
      <c r="E1294" s="99">
        <v>7</v>
      </c>
      <c r="F1294" s="99" t="s">
        <v>771</v>
      </c>
      <c r="H1294" s="481">
        <f>'Справка 8'!I27</f>
        <v>1799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G12" sqref="G12:H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6365</v>
      </c>
      <c r="D13" s="188">
        <v>6421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1176</v>
      </c>
      <c r="D14" s="188">
        <f>296+727</f>
        <v>1023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-1799</v>
      </c>
      <c r="H15" s="188">
        <v>-85</v>
      </c>
    </row>
    <row r="16" spans="1:8" ht="15.75">
      <c r="A16" s="84" t="s">
        <v>38</v>
      </c>
      <c r="B16" s="86" t="s">
        <v>39</v>
      </c>
      <c r="C16" s="188">
        <v>243</v>
      </c>
      <c r="D16" s="188">
        <v>174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289</v>
      </c>
      <c r="D17" s="188">
        <v>292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244</v>
      </c>
      <c r="D18" s="188">
        <v>20</v>
      </c>
      <c r="E18" s="465" t="s">
        <v>47</v>
      </c>
      <c r="F18" s="464" t="s">
        <v>48</v>
      </c>
      <c r="G18" s="574">
        <f>G12+G15+G16+G17</f>
        <v>57562</v>
      </c>
      <c r="H18" s="575">
        <f>H12+H15+H16+H17</f>
        <v>59276</v>
      </c>
    </row>
    <row r="19" spans="1:8" ht="15.75">
      <c r="A19" s="84" t="s">
        <v>49</v>
      </c>
      <c r="B19" s="86" t="s">
        <v>50</v>
      </c>
      <c r="C19" s="188">
        <v>1864</v>
      </c>
      <c r="D19" s="188">
        <f>1867+84</f>
        <v>1951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10181</v>
      </c>
      <c r="D20" s="563">
        <f>SUM(D12:D19)</f>
        <v>9881</v>
      </c>
      <c r="E20" s="84" t="s">
        <v>54</v>
      </c>
      <c r="F20" s="87" t="s">
        <v>55</v>
      </c>
      <c r="G20" s="188">
        <v>2501</v>
      </c>
      <c r="H20" s="188">
        <v>3083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6456</v>
      </c>
      <c r="H22" s="579">
        <f>SUM(H23:H25)</f>
        <v>3960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6254</v>
      </c>
      <c r="H23" s="188">
        <v>3898</v>
      </c>
    </row>
    <row r="24" spans="1:13" ht="15.75">
      <c r="A24" s="84" t="s">
        <v>67</v>
      </c>
      <c r="B24" s="86" t="s">
        <v>68</v>
      </c>
      <c r="C24" s="188">
        <v>4221</v>
      </c>
      <c r="D24" s="188">
        <v>3875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914</v>
      </c>
      <c r="D25" s="188">
        <v>725</v>
      </c>
      <c r="E25" s="84" t="s">
        <v>73</v>
      </c>
      <c r="F25" s="87" t="s">
        <v>74</v>
      </c>
      <c r="G25" s="188">
        <f>133+69</f>
        <v>202</v>
      </c>
      <c r="H25" s="188">
        <f>69-7</f>
        <v>62</v>
      </c>
    </row>
    <row r="26" spans="1:13" ht="15.75">
      <c r="A26" s="84" t="s">
        <v>75</v>
      </c>
      <c r="B26" s="86" t="s">
        <v>76</v>
      </c>
      <c r="C26" s="188">
        <v>10501</v>
      </c>
      <c r="D26" s="188">
        <v>10804</v>
      </c>
      <c r="E26" s="468" t="s">
        <v>77</v>
      </c>
      <c r="F26" s="89" t="s">
        <v>78</v>
      </c>
      <c r="G26" s="562">
        <f>G20+G21+G22</f>
        <v>8957</v>
      </c>
      <c r="H26" s="563">
        <f>H20+H21+H22</f>
        <v>7043</v>
      </c>
      <c r="M26" s="92"/>
    </row>
    <row r="27" spans="1:8" ht="15.75">
      <c r="A27" s="84" t="s">
        <v>79</v>
      </c>
      <c r="B27" s="86" t="s">
        <v>80</v>
      </c>
      <c r="C27" s="188">
        <v>4751</v>
      </c>
      <c r="D27" s="188">
        <v>5302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20387</v>
      </c>
      <c r="D28" s="563">
        <f>SUM(D24:D27)</f>
        <v>20706</v>
      </c>
      <c r="E28" s="193" t="s">
        <v>84</v>
      </c>
      <c r="F28" s="87" t="s">
        <v>85</v>
      </c>
      <c r="G28" s="560">
        <f>SUM(G29:G31)</f>
        <v>10826</v>
      </c>
      <c r="H28" s="561">
        <f>SUM(H29:H31)</f>
        <v>30764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f>8981+1845</f>
        <v>10826</v>
      </c>
      <c r="H29" s="188">
        <f>19237+11527</f>
        <v>30764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26252</v>
      </c>
      <c r="D31" s="188">
        <v>26252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6" t="s">
        <v>99</v>
      </c>
      <c r="B33" s="91" t="s">
        <v>100</v>
      </c>
      <c r="C33" s="562">
        <f>C31+C32</f>
        <v>26252</v>
      </c>
      <c r="D33" s="563">
        <f>D31+D32</f>
        <v>26252</v>
      </c>
      <c r="E33" s="191" t="s">
        <v>101</v>
      </c>
      <c r="F33" s="87" t="s">
        <v>102</v>
      </c>
      <c r="G33" s="188">
        <f>+-'[1]2-Отчет за доходите'!G44</f>
        <v>-1845</v>
      </c>
      <c r="H33" s="188">
        <f>+-'[1]2-Отчет за доходите'!H44</f>
        <v>-11527</v>
      </c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8981</v>
      </c>
      <c r="H34" s="563">
        <f>H28+H32+H33</f>
        <v>19237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18502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7" t="s">
        <v>822</v>
      </c>
      <c r="F37" s="93" t="s">
        <v>112</v>
      </c>
      <c r="G37" s="564">
        <f>G26+G18+G34</f>
        <v>75500</v>
      </c>
      <c r="H37" s="565">
        <f>H26+H18+H34</f>
        <v>85556</v>
      </c>
    </row>
    <row r="38" spans="1:13" ht="15.75">
      <c r="A38" s="84" t="s">
        <v>113</v>
      </c>
      <c r="B38" s="86" t="s">
        <v>114</v>
      </c>
      <c r="C38" s="188"/>
      <c r="D38" s="187">
        <v>18502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8">
        <v>4126</v>
      </c>
      <c r="H40" s="548">
        <v>4995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8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8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8"/>
      <c r="E44" s="191" t="s">
        <v>131</v>
      </c>
      <c r="F44" s="87" t="s">
        <v>132</v>
      </c>
      <c r="G44" s="188">
        <v>328</v>
      </c>
      <c r="H44" s="188"/>
      <c r="M44" s="92"/>
    </row>
    <row r="45" spans="1:8" ht="15.75">
      <c r="A45" s="84" t="s">
        <v>133</v>
      </c>
      <c r="B45" s="86" t="s">
        <v>134</v>
      </c>
      <c r="C45" s="188"/>
      <c r="D45" s="188">
        <v>336</v>
      </c>
      <c r="E45" s="197" t="s">
        <v>135</v>
      </c>
      <c r="F45" s="87" t="s">
        <v>136</v>
      </c>
      <c r="G45" s="188">
        <v>1283</v>
      </c>
      <c r="H45" s="188">
        <v>8994</v>
      </c>
    </row>
    <row r="46" spans="1:13" ht="15.75">
      <c r="A46" s="457" t="s">
        <v>137</v>
      </c>
      <c r="B46" s="90" t="s">
        <v>138</v>
      </c>
      <c r="C46" s="562">
        <f>C35+C40+C45</f>
        <v>0</v>
      </c>
      <c r="D46" s="563">
        <f>D35+D40+D45</f>
        <v>18838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v>295</v>
      </c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596</v>
      </c>
      <c r="H49" s="188">
        <v>400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2207</v>
      </c>
      <c r="H50" s="561">
        <f>SUM(H44:H49)</f>
        <v>9394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295</v>
      </c>
      <c r="D52" s="563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>
        <v>280</v>
      </c>
      <c r="H54" s="188">
        <v>327</v>
      </c>
    </row>
    <row r="55" spans="1:8" ht="15.75">
      <c r="A55" s="94" t="s">
        <v>166</v>
      </c>
      <c r="B55" s="90" t="s">
        <v>167</v>
      </c>
      <c r="C55" s="462">
        <v>1469</v>
      </c>
      <c r="D55" s="462">
        <v>1278</v>
      </c>
      <c r="E55" s="84" t="s">
        <v>168</v>
      </c>
      <c r="F55" s="89" t="s">
        <v>169</v>
      </c>
      <c r="G55" s="188"/>
      <c r="H55" s="188"/>
    </row>
    <row r="56" spans="1:13" ht="16.5" thickBot="1">
      <c r="A56" s="459" t="s">
        <v>170</v>
      </c>
      <c r="B56" s="199" t="s">
        <v>171</v>
      </c>
      <c r="C56" s="566">
        <f>C20+C21+C22+C28+C33+C46+C52+C54+C55</f>
        <v>58584</v>
      </c>
      <c r="D56" s="567">
        <f>D20+D21+D22+D28+D33+D46+D52+D54+D55</f>
        <v>76955</v>
      </c>
      <c r="E56" s="94" t="s">
        <v>825</v>
      </c>
      <c r="F56" s="93" t="s">
        <v>172</v>
      </c>
      <c r="G56" s="564">
        <f>G50+G52+G53+G54+G55</f>
        <v>2487</v>
      </c>
      <c r="H56" s="565">
        <f>H50+H52+H53+H54+H55</f>
        <v>9721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150</v>
      </c>
      <c r="D59" s="188">
        <v>123</v>
      </c>
      <c r="E59" s="192" t="s">
        <v>180</v>
      </c>
      <c r="F59" s="470" t="s">
        <v>181</v>
      </c>
      <c r="G59" s="188">
        <f>589+578</f>
        <v>1167</v>
      </c>
      <c r="H59" s="188">
        <v>5841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1954</v>
      </c>
      <c r="D61" s="188">
        <v>437</v>
      </c>
      <c r="E61" s="191" t="s">
        <v>188</v>
      </c>
      <c r="F61" s="87" t="s">
        <v>189</v>
      </c>
      <c r="G61" s="560">
        <f>SUM(G62:G68)</f>
        <v>10628</v>
      </c>
      <c r="H61" s="561">
        <f>SUM(H62:H68)</f>
        <v>16289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532</v>
      </c>
      <c r="H62" s="188">
        <v>497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4682-927</f>
        <v>3755</v>
      </c>
      <c r="H64" s="188">
        <v>2634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2104</v>
      </c>
      <c r="D65" s="563">
        <f>SUM(D59:D64)</f>
        <v>560</v>
      </c>
      <c r="E65" s="84" t="s">
        <v>201</v>
      </c>
      <c r="F65" s="87" t="s">
        <v>202</v>
      </c>
      <c r="G65" s="188">
        <v>1822</v>
      </c>
      <c r="H65" s="188">
        <v>8119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2923</v>
      </c>
      <c r="H66" s="188">
        <v>3401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608</v>
      </c>
      <c r="H67" s="188">
        <v>572</v>
      </c>
    </row>
    <row r="68" spans="1:8" ht="15.75">
      <c r="A68" s="84" t="s">
        <v>206</v>
      </c>
      <c r="B68" s="86" t="s">
        <v>207</v>
      </c>
      <c r="C68" s="188">
        <v>99</v>
      </c>
      <c r="D68" s="188">
        <v>418</v>
      </c>
      <c r="E68" s="84" t="s">
        <v>212</v>
      </c>
      <c r="F68" s="87" t="s">
        <v>213</v>
      </c>
      <c r="G68" s="188">
        <f>927+61</f>
        <v>988</v>
      </c>
      <c r="H68" s="188">
        <v>1066</v>
      </c>
    </row>
    <row r="69" spans="1:8" ht="15.75">
      <c r="A69" s="84" t="s">
        <v>210</v>
      </c>
      <c r="B69" s="86" t="s">
        <v>211</v>
      </c>
      <c r="C69" s="188">
        <f>15661-413+1059-234-375+27</f>
        <v>15725</v>
      </c>
      <c r="D69" s="188">
        <v>16405</v>
      </c>
      <c r="E69" s="192" t="s">
        <v>79</v>
      </c>
      <c r="F69" s="87" t="s">
        <v>216</v>
      </c>
      <c r="G69" s="188"/>
      <c r="H69" s="188">
        <v>28</v>
      </c>
    </row>
    <row r="70" spans="1:8" ht="15.75">
      <c r="A70" s="84" t="s">
        <v>214</v>
      </c>
      <c r="B70" s="86" t="s">
        <v>215</v>
      </c>
      <c r="C70" s="188">
        <v>234</v>
      </c>
      <c r="D70" s="188">
        <v>6167</v>
      </c>
      <c r="E70" s="84" t="s">
        <v>219</v>
      </c>
      <c r="F70" s="87" t="s">
        <v>220</v>
      </c>
      <c r="G70" s="188">
        <v>1535</v>
      </c>
      <c r="H70" s="188">
        <v>77</v>
      </c>
    </row>
    <row r="71" spans="1:8" ht="15.75">
      <c r="A71" s="84" t="s">
        <v>217</v>
      </c>
      <c r="B71" s="86" t="s">
        <v>218</v>
      </c>
      <c r="C71" s="188"/>
      <c r="D71" s="188">
        <v>150</v>
      </c>
      <c r="E71" s="458" t="s">
        <v>47</v>
      </c>
      <c r="F71" s="89" t="s">
        <v>223</v>
      </c>
      <c r="G71" s="562">
        <f>G59+G60+G61+G69+G70</f>
        <v>13330</v>
      </c>
      <c r="H71" s="563">
        <f>H59+H60+H61+H69+H70</f>
        <v>22235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f>27+386</f>
        <v>413</v>
      </c>
      <c r="D73" s="188">
        <v>90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/>
      <c r="D75" s="188">
        <v>315</v>
      </c>
      <c r="E75" s="469" t="s">
        <v>160</v>
      </c>
      <c r="F75" s="89" t="s">
        <v>233</v>
      </c>
      <c r="G75" s="462">
        <v>77</v>
      </c>
      <c r="H75" s="462"/>
    </row>
    <row r="76" spans="1:8" ht="15.75">
      <c r="A76" s="466" t="s">
        <v>77</v>
      </c>
      <c r="B76" s="90" t="s">
        <v>232</v>
      </c>
      <c r="C76" s="562">
        <f>SUM(C68:C75)</f>
        <v>16471</v>
      </c>
      <c r="D76" s="563">
        <f>SUM(D68:D75)</f>
        <v>23545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3292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13407</v>
      </c>
      <c r="H79" s="565">
        <f>H71+H73+H75+H77</f>
        <v>22235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>
        <v>3292</v>
      </c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3292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92</v>
      </c>
      <c r="D88" s="188">
        <v>74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14527</v>
      </c>
      <c r="D89" s="188">
        <v>20860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70</v>
      </c>
      <c r="D90" s="188">
        <v>212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5</v>
      </c>
      <c r="D91" s="188"/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14694</v>
      </c>
      <c r="D92" s="563">
        <f>SUM(D88:D91)</f>
        <v>21146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375</v>
      </c>
      <c r="D93" s="462">
        <v>301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36936</v>
      </c>
      <c r="D94" s="567">
        <f>D65+D76+D85+D92+D93</f>
        <v>45552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95520</v>
      </c>
      <c r="D95" s="569">
        <f>D94+D56</f>
        <v>122507</v>
      </c>
      <c r="E95" s="220" t="s">
        <v>915</v>
      </c>
      <c r="F95" s="473" t="s">
        <v>268</v>
      </c>
      <c r="G95" s="568">
        <f>G37+G40+G56+G79</f>
        <v>95520</v>
      </c>
      <c r="H95" s="569">
        <f>H37+H40+H56+H79</f>
        <v>122507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4" t="s">
        <v>949</v>
      </c>
      <c r="B98" s="662">
        <f>pdeReportingDate</f>
        <v>45408</v>
      </c>
      <c r="C98" s="662"/>
      <c r="D98" s="662"/>
      <c r="E98" s="662"/>
      <c r="F98" s="662"/>
      <c r="G98" s="662"/>
      <c r="H98" s="662"/>
      <c r="M98" s="92"/>
    </row>
    <row r="99" spans="1:13" ht="15.75">
      <c r="A99" s="654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5" t="s">
        <v>8</v>
      </c>
      <c r="B100" s="663" t="str">
        <f>authorName</f>
        <v>Диана Петкова</v>
      </c>
      <c r="C100" s="663"/>
      <c r="D100" s="663"/>
      <c r="E100" s="663"/>
      <c r="F100" s="663"/>
      <c r="G100" s="663"/>
      <c r="H100" s="663"/>
    </row>
    <row r="101" spans="1:8" ht="15.75">
      <c r="A101" s="655"/>
      <c r="B101" s="75"/>
      <c r="C101" s="75"/>
      <c r="D101" s="75"/>
      <c r="E101" s="75"/>
      <c r="F101" s="75"/>
      <c r="G101" s="75"/>
      <c r="H101" s="75"/>
    </row>
    <row r="102" spans="1:8" ht="15.75">
      <c r="A102" s="655" t="s">
        <v>894</v>
      </c>
      <c r="B102" s="664"/>
      <c r="C102" s="664"/>
      <c r="D102" s="664"/>
      <c r="E102" s="664"/>
      <c r="F102" s="664"/>
      <c r="G102" s="664"/>
      <c r="H102" s="664"/>
    </row>
    <row r="103" spans="1:13" ht="21.75" customHeight="1">
      <c r="A103" s="656"/>
      <c r="B103" s="661" t="s">
        <v>951</v>
      </c>
      <c r="C103" s="661"/>
      <c r="D103" s="661"/>
      <c r="E103" s="661"/>
      <c r="M103" s="92"/>
    </row>
    <row r="104" spans="1:5" ht="21.75" customHeight="1">
      <c r="A104" s="656"/>
      <c r="B104" s="661" t="s">
        <v>951</v>
      </c>
      <c r="C104" s="661"/>
      <c r="D104" s="661"/>
      <c r="E104" s="661"/>
    </row>
    <row r="105" spans="1:13" ht="21.75" customHeight="1">
      <c r="A105" s="656"/>
      <c r="B105" s="661" t="s">
        <v>951</v>
      </c>
      <c r="C105" s="661"/>
      <c r="D105" s="661"/>
      <c r="E105" s="661"/>
      <c r="M105" s="92"/>
    </row>
    <row r="106" spans="1:5" ht="21.75" customHeight="1">
      <c r="A106" s="656"/>
      <c r="B106" s="661" t="s">
        <v>951</v>
      </c>
      <c r="C106" s="661"/>
      <c r="D106" s="661"/>
      <c r="E106" s="661"/>
    </row>
    <row r="107" spans="1:13" ht="21.75" customHeight="1">
      <c r="A107" s="656"/>
      <c r="B107" s="661"/>
      <c r="C107" s="661"/>
      <c r="D107" s="661"/>
      <c r="E107" s="661"/>
      <c r="M107" s="92"/>
    </row>
    <row r="108" spans="1:5" ht="21.75" customHeight="1">
      <c r="A108" s="656"/>
      <c r="B108" s="661"/>
      <c r="C108" s="661"/>
      <c r="D108" s="661"/>
      <c r="E108" s="661"/>
    </row>
    <row r="109" spans="1:13" ht="21.75" customHeight="1">
      <c r="A109" s="656"/>
      <c r="B109" s="661"/>
      <c r="C109" s="661"/>
      <c r="D109" s="661"/>
      <c r="E109" s="661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G12" sqref="G12:H45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1565</v>
      </c>
      <c r="D12" s="304">
        <v>1841</v>
      </c>
      <c r="E12" s="185" t="s">
        <v>277</v>
      </c>
      <c r="F12" s="231" t="s">
        <v>278</v>
      </c>
      <c r="G12" s="304"/>
      <c r="H12" s="304"/>
    </row>
    <row r="13" spans="1:8" ht="15.75">
      <c r="A13" s="185" t="s">
        <v>279</v>
      </c>
      <c r="B13" s="181" t="s">
        <v>280</v>
      </c>
      <c r="C13" s="304">
        <v>12221</v>
      </c>
      <c r="D13" s="304">
        <v>12049</v>
      </c>
      <c r="E13" s="185" t="s">
        <v>281</v>
      </c>
      <c r="F13" s="231" t="s">
        <v>282</v>
      </c>
      <c r="G13" s="304">
        <v>26654</v>
      </c>
      <c r="H13" s="304">
        <v>22485</v>
      </c>
    </row>
    <row r="14" spans="1:8" ht="15.75">
      <c r="A14" s="185" t="s">
        <v>283</v>
      </c>
      <c r="B14" s="181" t="s">
        <v>284</v>
      </c>
      <c r="C14" s="304">
        <v>3794</v>
      </c>
      <c r="D14" s="304">
        <v>8318</v>
      </c>
      <c r="E14" s="236" t="s">
        <v>285</v>
      </c>
      <c r="F14" s="231" t="s">
        <v>286</v>
      </c>
      <c r="G14" s="304">
        <v>53874</v>
      </c>
      <c r="H14" s="304">
        <v>55873</v>
      </c>
    </row>
    <row r="15" spans="1:8" ht="15.75">
      <c r="A15" s="185" t="s">
        <v>287</v>
      </c>
      <c r="B15" s="181" t="s">
        <v>288</v>
      </c>
      <c r="C15" s="304">
        <v>35359</v>
      </c>
      <c r="D15" s="304">
        <v>30856</v>
      </c>
      <c r="E15" s="236" t="s">
        <v>79</v>
      </c>
      <c r="F15" s="231" t="s">
        <v>289</v>
      </c>
      <c r="G15" s="304">
        <v>770</v>
      </c>
      <c r="H15" s="304">
        <v>210</v>
      </c>
    </row>
    <row r="16" spans="1:8" ht="15.75">
      <c r="A16" s="185" t="s">
        <v>290</v>
      </c>
      <c r="B16" s="181" t="s">
        <v>291</v>
      </c>
      <c r="C16" s="304">
        <v>3642</v>
      </c>
      <c r="D16" s="304">
        <v>3500</v>
      </c>
      <c r="E16" s="227" t="s">
        <v>52</v>
      </c>
      <c r="F16" s="255" t="s">
        <v>292</v>
      </c>
      <c r="G16" s="593">
        <f>SUM(G12:G15)</f>
        <v>81298</v>
      </c>
      <c r="H16" s="594">
        <f>SUM(H12:H15)</f>
        <v>78568</v>
      </c>
    </row>
    <row r="17" spans="1:8" ht="31.5">
      <c r="A17" s="185" t="s">
        <v>293</v>
      </c>
      <c r="B17" s="181" t="s">
        <v>294</v>
      </c>
      <c r="C17" s="304">
        <v>23237</v>
      </c>
      <c r="D17" s="304">
        <v>20083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0</v>
      </c>
      <c r="D18" s="304">
        <v>141</v>
      </c>
      <c r="E18" s="225" t="s">
        <v>297</v>
      </c>
      <c r="F18" s="229" t="s">
        <v>298</v>
      </c>
      <c r="G18" s="604">
        <v>17</v>
      </c>
      <c r="H18" s="605">
        <v>1524</v>
      </c>
    </row>
    <row r="19" spans="1:8" ht="15.75">
      <c r="A19" s="185" t="s">
        <v>299</v>
      </c>
      <c r="B19" s="181" t="s">
        <v>300</v>
      </c>
      <c r="C19" s="304">
        <v>2071</v>
      </c>
      <c r="D19" s="304">
        <v>1462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81889</v>
      </c>
      <c r="D22" s="594">
        <f>SUM(D12:D18)+D19</f>
        <v>78250</v>
      </c>
      <c r="E22" s="185" t="s">
        <v>309</v>
      </c>
      <c r="F22" s="228" t="s">
        <v>310</v>
      </c>
      <c r="G22" s="304">
        <v>27</v>
      </c>
      <c r="H22" s="304">
        <v>32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>
        <v>53</v>
      </c>
      <c r="H24" s="304">
        <v>542</v>
      </c>
    </row>
    <row r="25" spans="1:8" ht="31.5">
      <c r="A25" s="185" t="s">
        <v>316</v>
      </c>
      <c r="B25" s="228" t="s">
        <v>317</v>
      </c>
      <c r="C25" s="304">
        <v>163</v>
      </c>
      <c r="D25" s="304">
        <v>332</v>
      </c>
      <c r="E25" s="185" t="s">
        <v>318</v>
      </c>
      <c r="F25" s="228" t="s">
        <v>319</v>
      </c>
      <c r="G25" s="304"/>
      <c r="H25" s="304">
        <v>164</v>
      </c>
    </row>
    <row r="26" spans="1:8" ht="31.5">
      <c r="A26" s="185" t="s">
        <v>320</v>
      </c>
      <c r="B26" s="228" t="s">
        <v>321</v>
      </c>
      <c r="C26" s="304">
        <v>6</v>
      </c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249</v>
      </c>
      <c r="D27" s="304"/>
      <c r="E27" s="227" t="s">
        <v>104</v>
      </c>
      <c r="F27" s="229" t="s">
        <v>326</v>
      </c>
      <c r="G27" s="593">
        <f>SUM(G22:G26)</f>
        <v>80</v>
      </c>
      <c r="H27" s="594">
        <f>SUM(H22:H26)</f>
        <v>738</v>
      </c>
    </row>
    <row r="28" spans="1:8" ht="15.75">
      <c r="A28" s="185" t="s">
        <v>79</v>
      </c>
      <c r="B28" s="228" t="s">
        <v>327</v>
      </c>
      <c r="C28" s="304">
        <v>528</v>
      </c>
      <c r="D28" s="304">
        <v>13453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946</v>
      </c>
      <c r="D29" s="594">
        <f>SUM(D25:D28)</f>
        <v>13785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82835</v>
      </c>
      <c r="D31" s="600">
        <f>D29+D22</f>
        <v>92035</v>
      </c>
      <c r="E31" s="242" t="s">
        <v>800</v>
      </c>
      <c r="F31" s="257" t="s">
        <v>331</v>
      </c>
      <c r="G31" s="244">
        <f>G16+G18+G27</f>
        <v>81395</v>
      </c>
      <c r="H31" s="245">
        <f>H16+H18+H27</f>
        <v>80830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3">
        <f>IF((C31-G31)&gt;0,C31-G31,0)</f>
        <v>1440</v>
      </c>
      <c r="H33" s="594">
        <f>IF((D31-H31)&gt;0,D31-H31,0)</f>
        <v>11205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82835</v>
      </c>
      <c r="D36" s="602">
        <f>D31-D34+D35</f>
        <v>92035</v>
      </c>
      <c r="E36" s="253" t="s">
        <v>346</v>
      </c>
      <c r="F36" s="247" t="s">
        <v>347</v>
      </c>
      <c r="G36" s="258">
        <f>G35-G34+G31</f>
        <v>81395</v>
      </c>
      <c r="H36" s="259">
        <f>H35-H34+H31</f>
        <v>80830</v>
      </c>
    </row>
    <row r="37" spans="1:8" ht="15.75">
      <c r="A37" s="252" t="s">
        <v>348</v>
      </c>
      <c r="B37" s="222" t="s">
        <v>349</v>
      </c>
      <c r="C37" s="599">
        <f>IF((G36-C36)&gt;0,G36-C36,0)</f>
        <v>0</v>
      </c>
      <c r="D37" s="600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1440</v>
      </c>
      <c r="H37" s="245">
        <f>IF((D36-H36)&gt;0,D36-H36,0)</f>
        <v>11205</v>
      </c>
    </row>
    <row r="38" spans="1:8" ht="15.75">
      <c r="A38" s="225" t="s">
        <v>352</v>
      </c>
      <c r="B38" s="229" t="s">
        <v>353</v>
      </c>
      <c r="C38" s="593">
        <f>C39+C40+C41</f>
        <v>22</v>
      </c>
      <c r="D38" s="594">
        <f>D39+D40+D41</f>
        <v>-383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22</v>
      </c>
      <c r="D40" s="304">
        <v>-383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1462</v>
      </c>
      <c r="H42" s="235">
        <f>IF(H37&gt;0,IF(D38+H37&lt;0,0,D38+H37),IF(D37-D38&lt;0,D38-D37,0))</f>
        <v>10822</v>
      </c>
    </row>
    <row r="43" spans="1:8" ht="15.75">
      <c r="A43" s="224" t="s">
        <v>364</v>
      </c>
      <c r="B43" s="177" t="s">
        <v>365</v>
      </c>
      <c r="C43" s="304">
        <v>383</v>
      </c>
      <c r="D43" s="304">
        <v>705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1845</v>
      </c>
      <c r="H44" s="259">
        <f>IF(D42=0,IF(H42-H43&gt;0,H42-H43+D43,0),IF(D42-D43&lt;0,D43-D42+H43,0))</f>
        <v>11527</v>
      </c>
    </row>
    <row r="45" spans="1:8" ht="16.5" thickBot="1">
      <c r="A45" s="261" t="s">
        <v>371</v>
      </c>
      <c r="B45" s="262" t="s">
        <v>372</v>
      </c>
      <c r="C45" s="595">
        <f>C36+C38+C42</f>
        <v>82857</v>
      </c>
      <c r="D45" s="596">
        <f>D36+D38+D42</f>
        <v>91652</v>
      </c>
      <c r="E45" s="261" t="s">
        <v>373</v>
      </c>
      <c r="F45" s="263" t="s">
        <v>374</v>
      </c>
      <c r="G45" s="595">
        <f>G42+G36</f>
        <v>82857</v>
      </c>
      <c r="H45" s="596">
        <f>H42+H36</f>
        <v>91652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5" t="s">
        <v>950</v>
      </c>
      <c r="B47" s="665"/>
      <c r="C47" s="665"/>
      <c r="D47" s="665"/>
      <c r="E47" s="665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4" t="s">
        <v>949</v>
      </c>
      <c r="B50" s="662">
        <f>pdeReportingDate</f>
        <v>45408</v>
      </c>
      <c r="C50" s="662"/>
      <c r="D50" s="662"/>
      <c r="E50" s="662"/>
      <c r="F50" s="662"/>
      <c r="G50" s="662"/>
      <c r="H50" s="662"/>
      <c r="M50" s="92"/>
    </row>
    <row r="51" spans="1:13" s="41" customFormat="1" ht="15.75">
      <c r="A51" s="654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5" t="s">
        <v>8</v>
      </c>
      <c r="B52" s="663" t="str">
        <f>authorName</f>
        <v>Диана Петкова</v>
      </c>
      <c r="C52" s="663"/>
      <c r="D52" s="663"/>
      <c r="E52" s="663"/>
      <c r="F52" s="663"/>
      <c r="G52" s="663"/>
      <c r="H52" s="663"/>
    </row>
    <row r="53" spans="1:8" s="41" customFormat="1" ht="15.75">
      <c r="A53" s="655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5" t="s">
        <v>894</v>
      </c>
      <c r="B54" s="664"/>
      <c r="C54" s="664"/>
      <c r="D54" s="664"/>
      <c r="E54" s="664"/>
      <c r="F54" s="664"/>
      <c r="G54" s="664"/>
      <c r="H54" s="664"/>
    </row>
    <row r="55" spans="1:8" ht="15.75" customHeight="1">
      <c r="A55" s="656"/>
      <c r="B55" s="661" t="s">
        <v>951</v>
      </c>
      <c r="C55" s="661"/>
      <c r="D55" s="661"/>
      <c r="E55" s="661"/>
      <c r="F55" s="540"/>
      <c r="G55" s="44"/>
      <c r="H55" s="41"/>
    </row>
    <row r="56" spans="1:8" ht="15.75" customHeight="1">
      <c r="A56" s="656"/>
      <c r="B56" s="661" t="s">
        <v>951</v>
      </c>
      <c r="C56" s="661"/>
      <c r="D56" s="661"/>
      <c r="E56" s="661"/>
      <c r="F56" s="540"/>
      <c r="G56" s="44"/>
      <c r="H56" s="41"/>
    </row>
    <row r="57" spans="1:8" ht="15.75" customHeight="1">
      <c r="A57" s="656"/>
      <c r="B57" s="661" t="s">
        <v>951</v>
      </c>
      <c r="C57" s="661"/>
      <c r="D57" s="661"/>
      <c r="E57" s="661"/>
      <c r="F57" s="540"/>
      <c r="G57" s="44"/>
      <c r="H57" s="41"/>
    </row>
    <row r="58" spans="1:8" ht="15.75" customHeight="1">
      <c r="A58" s="656"/>
      <c r="B58" s="661" t="s">
        <v>951</v>
      </c>
      <c r="C58" s="661"/>
      <c r="D58" s="661"/>
      <c r="E58" s="661"/>
      <c r="F58" s="540"/>
      <c r="G58" s="44"/>
      <c r="H58" s="41"/>
    </row>
    <row r="59" spans="1:8" ht="15.75">
      <c r="A59" s="656"/>
      <c r="B59" s="661"/>
      <c r="C59" s="661"/>
      <c r="D59" s="661"/>
      <c r="E59" s="661"/>
      <c r="F59" s="540"/>
      <c r="G59" s="44"/>
      <c r="H59" s="41"/>
    </row>
    <row r="60" spans="1:8" ht="15.75">
      <c r="A60" s="656"/>
      <c r="B60" s="661"/>
      <c r="C60" s="661"/>
      <c r="D60" s="661"/>
      <c r="E60" s="661"/>
      <c r="F60" s="540"/>
      <c r="G60" s="44"/>
      <c r="H60" s="41"/>
    </row>
    <row r="61" spans="1:8" ht="15.75">
      <c r="A61" s="656"/>
      <c r="B61" s="661"/>
      <c r="C61" s="661"/>
      <c r="D61" s="661"/>
      <c r="E61" s="661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17">
      <selection activeCell="C11" sqref="C11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84663</v>
      </c>
      <c r="D11" s="188">
        <v>87418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-41383</v>
      </c>
      <c r="D12" s="188">
        <v>-46726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-36959</v>
      </c>
      <c r="D14" s="188">
        <v>-31651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-2345</v>
      </c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-352</v>
      </c>
      <c r="D16" s="188">
        <v>-417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-823</v>
      </c>
      <c r="D20" s="188">
        <v>41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3">
        <f>SUM(C11:C20)</f>
        <v>2801</v>
      </c>
      <c r="D21" s="624">
        <f>SUM(D11:D20)</f>
        <v>8665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-3950</v>
      </c>
      <c r="D23" s="188">
        <v>-4460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1249</v>
      </c>
      <c r="D24" s="188">
        <v>14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-353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164</v>
      </c>
      <c r="D26" s="188">
        <v>764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-7079</v>
      </c>
      <c r="D28" s="188">
        <v>-6095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18537</v>
      </c>
      <c r="D29" s="188">
        <v>29432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-148</v>
      </c>
      <c r="D31" s="188">
        <v>-85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3">
        <f>SUM(C23:C32)</f>
        <v>8779</v>
      </c>
      <c r="D33" s="624">
        <f>SUM(D23:D32)</f>
        <v>19217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>
        <v>-1206</v>
      </c>
      <c r="D36" s="188">
        <v>-2721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50</v>
      </c>
      <c r="D37" s="188">
        <v>5758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-12433</v>
      </c>
      <c r="D38" s="188">
        <v>-16788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-767</v>
      </c>
      <c r="D39" s="188">
        <v>-837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-126</v>
      </c>
      <c r="D40" s="188">
        <v>-2565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-3342</v>
      </c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-208</v>
      </c>
      <c r="D42" s="188">
        <v>-936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5">
        <f>SUM(C35:C42)</f>
        <v>-18032</v>
      </c>
      <c r="D43" s="626">
        <f>SUM(D35:D42)</f>
        <v>-18089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-6452</v>
      </c>
      <c r="D44" s="296">
        <f>D43+D33+D21</f>
        <v>9793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21146</v>
      </c>
      <c r="D45" s="297">
        <v>11353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14694</v>
      </c>
      <c r="D46" s="299">
        <f>D45+D44</f>
        <v>21146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f>+C46-C48</f>
        <v>14619</v>
      </c>
      <c r="D47" s="287">
        <v>20934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75</v>
      </c>
      <c r="D48" s="271">
        <v>212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2" t="s">
        <v>940</v>
      </c>
      <c r="G50" s="171"/>
      <c r="H50" s="171"/>
    </row>
    <row r="51" spans="1:8" ht="15.75">
      <c r="A51" s="666" t="s">
        <v>946</v>
      </c>
      <c r="B51" s="666"/>
      <c r="C51" s="666"/>
      <c r="D51" s="666"/>
      <c r="G51" s="171"/>
      <c r="H51" s="171"/>
    </row>
    <row r="52" spans="1:8" ht="15.75">
      <c r="A52" s="653"/>
      <c r="B52" s="653"/>
      <c r="C52" s="653"/>
      <c r="D52" s="653"/>
      <c r="G52" s="171"/>
      <c r="H52" s="171"/>
    </row>
    <row r="53" spans="1:8" ht="15.75">
      <c r="A53" s="653"/>
      <c r="B53" s="653"/>
      <c r="C53" s="653"/>
      <c r="D53" s="653"/>
      <c r="G53" s="171"/>
      <c r="H53" s="171"/>
    </row>
    <row r="54" spans="1:13" s="41" customFormat="1" ht="15.75">
      <c r="A54" s="654" t="s">
        <v>949</v>
      </c>
      <c r="B54" s="662">
        <f>pdeReportingDate</f>
        <v>45408</v>
      </c>
      <c r="C54" s="662"/>
      <c r="D54" s="662"/>
      <c r="E54" s="662"/>
      <c r="F54" s="657"/>
      <c r="G54" s="657"/>
      <c r="H54" s="657"/>
      <c r="M54" s="92"/>
    </row>
    <row r="55" spans="1:13" s="41" customFormat="1" ht="15.75">
      <c r="A55" s="654"/>
      <c r="B55" s="662"/>
      <c r="C55" s="662"/>
      <c r="D55" s="662"/>
      <c r="E55" s="662"/>
      <c r="F55" s="51"/>
      <c r="G55" s="51"/>
      <c r="H55" s="51"/>
      <c r="M55" s="92"/>
    </row>
    <row r="56" spans="1:8" s="41" customFormat="1" ht="15.75">
      <c r="A56" s="655" t="s">
        <v>8</v>
      </c>
      <c r="B56" s="663" t="str">
        <f>authorName</f>
        <v>Диана Петкова</v>
      </c>
      <c r="C56" s="663"/>
      <c r="D56" s="663"/>
      <c r="E56" s="663"/>
      <c r="F56" s="75"/>
      <c r="G56" s="75"/>
      <c r="H56" s="75"/>
    </row>
    <row r="57" spans="1:8" s="41" customFormat="1" ht="15.75">
      <c r="A57" s="655"/>
      <c r="B57" s="663"/>
      <c r="C57" s="663"/>
      <c r="D57" s="663"/>
      <c r="E57" s="663"/>
      <c r="F57" s="75"/>
      <c r="G57" s="75"/>
      <c r="H57" s="75"/>
    </row>
    <row r="58" spans="1:8" s="41" customFormat="1" ht="15.75">
      <c r="A58" s="655" t="s">
        <v>894</v>
      </c>
      <c r="B58" s="663"/>
      <c r="C58" s="663"/>
      <c r="D58" s="663"/>
      <c r="E58" s="663"/>
      <c r="F58" s="75"/>
      <c r="G58" s="75"/>
      <c r="H58" s="75"/>
    </row>
    <row r="59" spans="1:8" s="182" customFormat="1" ht="15.75">
      <c r="A59" s="656"/>
      <c r="B59" s="661" t="s">
        <v>951</v>
      </c>
      <c r="C59" s="661"/>
      <c r="D59" s="661"/>
      <c r="E59" s="661"/>
      <c r="F59" s="540"/>
      <c r="G59" s="44"/>
      <c r="H59" s="41"/>
    </row>
    <row r="60" spans="1:8" ht="15.75">
      <c r="A60" s="656"/>
      <c r="B60" s="661" t="s">
        <v>951</v>
      </c>
      <c r="C60" s="661"/>
      <c r="D60" s="661"/>
      <c r="E60" s="661"/>
      <c r="F60" s="540"/>
      <c r="G60" s="44"/>
      <c r="H60" s="41"/>
    </row>
    <row r="61" spans="1:8" ht="15.75">
      <c r="A61" s="656"/>
      <c r="B61" s="661" t="s">
        <v>951</v>
      </c>
      <c r="C61" s="661"/>
      <c r="D61" s="661"/>
      <c r="E61" s="661"/>
      <c r="F61" s="540"/>
      <c r="G61" s="44"/>
      <c r="H61" s="41"/>
    </row>
    <row r="62" spans="1:8" ht="15.75">
      <c r="A62" s="656"/>
      <c r="B62" s="661" t="s">
        <v>951</v>
      </c>
      <c r="C62" s="661"/>
      <c r="D62" s="661"/>
      <c r="E62" s="661"/>
      <c r="F62" s="540"/>
      <c r="G62" s="44"/>
      <c r="H62" s="41"/>
    </row>
    <row r="63" spans="1:8" ht="15.75">
      <c r="A63" s="656"/>
      <c r="B63" s="661"/>
      <c r="C63" s="661"/>
      <c r="D63" s="661"/>
      <c r="E63" s="661"/>
      <c r="F63" s="540"/>
      <c r="G63" s="44"/>
      <c r="H63" s="41"/>
    </row>
    <row r="64" spans="1:8" ht="15.75">
      <c r="A64" s="656"/>
      <c r="B64" s="661"/>
      <c r="C64" s="661"/>
      <c r="D64" s="661"/>
      <c r="E64" s="661"/>
      <c r="F64" s="540"/>
      <c r="G64" s="44"/>
      <c r="H64" s="41"/>
    </row>
    <row r="65" spans="1:8" ht="15.75">
      <c r="A65" s="656"/>
      <c r="B65" s="661"/>
      <c r="C65" s="661"/>
      <c r="D65" s="661"/>
      <c r="E65" s="661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13" sqref="C13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1" t="s">
        <v>453</v>
      </c>
      <c r="B8" s="674" t="s">
        <v>454</v>
      </c>
      <c r="C8" s="667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67" t="s">
        <v>460</v>
      </c>
      <c r="L8" s="667" t="s">
        <v>461</v>
      </c>
      <c r="M8" s="497"/>
      <c r="N8" s="498"/>
    </row>
    <row r="9" spans="1:14" s="499" customFormat="1" ht="31.5">
      <c r="A9" s="672"/>
      <c r="B9" s="675"/>
      <c r="C9" s="668"/>
      <c r="D9" s="670" t="s">
        <v>802</v>
      </c>
      <c r="E9" s="670" t="s">
        <v>456</v>
      </c>
      <c r="F9" s="501" t="s">
        <v>457</v>
      </c>
      <c r="G9" s="501"/>
      <c r="H9" s="501"/>
      <c r="I9" s="677" t="s">
        <v>458</v>
      </c>
      <c r="J9" s="677" t="s">
        <v>459</v>
      </c>
      <c r="K9" s="668"/>
      <c r="L9" s="668"/>
      <c r="M9" s="502" t="s">
        <v>801</v>
      </c>
      <c r="N9" s="498"/>
    </row>
    <row r="10" spans="1:14" s="499" customFormat="1" ht="31.5">
      <c r="A10" s="673"/>
      <c r="B10" s="676"/>
      <c r="C10" s="669"/>
      <c r="D10" s="670"/>
      <c r="E10" s="670"/>
      <c r="F10" s="500" t="s">
        <v>462</v>
      </c>
      <c r="G10" s="500" t="s">
        <v>463</v>
      </c>
      <c r="H10" s="500" t="s">
        <v>464</v>
      </c>
      <c r="I10" s="669"/>
      <c r="J10" s="669"/>
      <c r="K10" s="669"/>
      <c r="L10" s="669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59276</v>
      </c>
      <c r="D13" s="549">
        <f>'1-Баланс'!H20</f>
        <v>3083</v>
      </c>
      <c r="E13" s="549">
        <f>'1-Баланс'!H21</f>
        <v>0</v>
      </c>
      <c r="F13" s="549">
        <f>'1-Баланс'!H23</f>
        <v>3898</v>
      </c>
      <c r="G13" s="549">
        <f>'1-Баланс'!H24</f>
        <v>0</v>
      </c>
      <c r="H13" s="550">
        <v>62</v>
      </c>
      <c r="I13" s="549">
        <f>'1-Баланс'!H29+'1-Баланс'!H32</f>
        <v>30764</v>
      </c>
      <c r="J13" s="549">
        <f>'1-Баланс'!H30+'1-Баланс'!H33</f>
        <v>-11527</v>
      </c>
      <c r="K13" s="550"/>
      <c r="L13" s="549">
        <f>SUM(C13:K13)</f>
        <v>85556</v>
      </c>
      <c r="M13" s="551">
        <f>'1-Баланс'!H40</f>
        <v>4995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8">
        <f>C13+C14</f>
        <v>59276</v>
      </c>
      <c r="D17" s="618">
        <f aca="true" t="shared" si="2" ref="D17:M17">D13+D14</f>
        <v>3083</v>
      </c>
      <c r="E17" s="618">
        <f t="shared" si="2"/>
        <v>0</v>
      </c>
      <c r="F17" s="618">
        <f t="shared" si="2"/>
        <v>3898</v>
      </c>
      <c r="G17" s="618">
        <f t="shared" si="2"/>
        <v>0</v>
      </c>
      <c r="H17" s="618">
        <f t="shared" si="2"/>
        <v>62</v>
      </c>
      <c r="I17" s="618">
        <f t="shared" si="2"/>
        <v>30764</v>
      </c>
      <c r="J17" s="618">
        <f t="shared" si="2"/>
        <v>-11527</v>
      </c>
      <c r="K17" s="618">
        <f t="shared" si="2"/>
        <v>0</v>
      </c>
      <c r="L17" s="549">
        <f t="shared" si="1"/>
        <v>85556</v>
      </c>
      <c r="M17" s="619">
        <f t="shared" si="2"/>
        <v>4995</v>
      </c>
      <c r="N17" s="160"/>
    </row>
    <row r="18" spans="1:14" ht="15.75">
      <c r="A18" s="513" t="s">
        <v>477</v>
      </c>
      <c r="B18" s="514" t="s">
        <v>478</v>
      </c>
      <c r="C18" s="620"/>
      <c r="D18" s="620"/>
      <c r="E18" s="620"/>
      <c r="F18" s="620"/>
      <c r="G18" s="620"/>
      <c r="H18" s="620"/>
      <c r="I18" s="549">
        <f>+'1-Баланс'!G32</f>
        <v>0</v>
      </c>
      <c r="J18" s="549">
        <f>+'1-Баланс'!G33</f>
        <v>-1845</v>
      </c>
      <c r="K18" s="550"/>
      <c r="L18" s="549">
        <f t="shared" si="1"/>
        <v>-1845</v>
      </c>
      <c r="M18" s="603">
        <v>383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282</v>
      </c>
      <c r="G19" s="159">
        <f t="shared" si="3"/>
        <v>0</v>
      </c>
      <c r="H19" s="159">
        <f t="shared" si="3"/>
        <v>0</v>
      </c>
      <c r="I19" s="159">
        <f t="shared" si="3"/>
        <v>-3475</v>
      </c>
      <c r="J19" s="159">
        <f>J20+J21</f>
        <v>0</v>
      </c>
      <c r="K19" s="159">
        <f t="shared" si="3"/>
        <v>0</v>
      </c>
      <c r="L19" s="549">
        <f t="shared" si="1"/>
        <v>-3193</v>
      </c>
      <c r="M19" s="303">
        <f>M20+M21</f>
        <v>-404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>
        <v>-3193</v>
      </c>
      <c r="J20" s="304"/>
      <c r="K20" s="304"/>
      <c r="L20" s="549">
        <f>SUM(C20:K20)</f>
        <v>-3193</v>
      </c>
      <c r="M20" s="305">
        <v>-404</v>
      </c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>
        <v>282</v>
      </c>
      <c r="G21" s="304"/>
      <c r="H21" s="304"/>
      <c r="I21" s="304">
        <v>-282</v>
      </c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>
        <v>-1714</v>
      </c>
      <c r="D30" s="304">
        <f>+-1518+936</f>
        <v>-582</v>
      </c>
      <c r="E30" s="304"/>
      <c r="F30" s="304">
        <f>1518+838-282</f>
        <v>2074</v>
      </c>
      <c r="G30" s="304"/>
      <c r="H30" s="304"/>
      <c r="I30" s="304">
        <f>+-4281-655</f>
        <v>-4936</v>
      </c>
      <c r="J30" s="304"/>
      <c r="K30" s="304"/>
      <c r="L30" s="549">
        <f t="shared" si="1"/>
        <v>-5158</v>
      </c>
      <c r="M30" s="305">
        <v>-848</v>
      </c>
      <c r="N30" s="160"/>
    </row>
    <row r="31" spans="1:14" ht="15.75">
      <c r="A31" s="513" t="s">
        <v>501</v>
      </c>
      <c r="B31" s="514" t="s">
        <v>502</v>
      </c>
      <c r="C31" s="618">
        <f>C19+C22+C23+C26+C30+C29+C17+C18</f>
        <v>57562</v>
      </c>
      <c r="D31" s="618">
        <f aca="true" t="shared" si="6" ref="D31:M31">D19+D22+D23+D26+D30+D29+D17+D18</f>
        <v>2501</v>
      </c>
      <c r="E31" s="618">
        <f t="shared" si="6"/>
        <v>0</v>
      </c>
      <c r="F31" s="618">
        <f t="shared" si="6"/>
        <v>6254</v>
      </c>
      <c r="G31" s="618">
        <f t="shared" si="6"/>
        <v>0</v>
      </c>
      <c r="H31" s="618">
        <f t="shared" si="6"/>
        <v>62</v>
      </c>
      <c r="I31" s="618">
        <f t="shared" si="6"/>
        <v>22353</v>
      </c>
      <c r="J31" s="618">
        <f t="shared" si="6"/>
        <v>-13372</v>
      </c>
      <c r="K31" s="618">
        <f t="shared" si="6"/>
        <v>0</v>
      </c>
      <c r="L31" s="549">
        <f t="shared" si="1"/>
        <v>75360</v>
      </c>
      <c r="M31" s="619">
        <f t="shared" si="6"/>
        <v>4126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>
        <v>140</v>
      </c>
      <c r="I32" s="304"/>
      <c r="J32" s="304"/>
      <c r="K32" s="304"/>
      <c r="L32" s="549">
        <f t="shared" si="1"/>
        <v>140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7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57562</v>
      </c>
      <c r="D34" s="552">
        <f t="shared" si="7"/>
        <v>2501</v>
      </c>
      <c r="E34" s="552">
        <f t="shared" si="7"/>
        <v>0</v>
      </c>
      <c r="F34" s="552">
        <f t="shared" si="7"/>
        <v>6254</v>
      </c>
      <c r="G34" s="552">
        <f t="shared" si="7"/>
        <v>0</v>
      </c>
      <c r="H34" s="552">
        <f t="shared" si="7"/>
        <v>202</v>
      </c>
      <c r="I34" s="552">
        <f t="shared" si="7"/>
        <v>22353</v>
      </c>
      <c r="J34" s="552">
        <f t="shared" si="7"/>
        <v>-13372</v>
      </c>
      <c r="K34" s="552">
        <f t="shared" si="7"/>
        <v>0</v>
      </c>
      <c r="L34" s="616">
        <f t="shared" si="1"/>
        <v>75500</v>
      </c>
      <c r="M34" s="553">
        <f>M31+M32+M33</f>
        <v>4126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4" t="s">
        <v>949</v>
      </c>
      <c r="B38" s="662">
        <f>pdeReportingDate</f>
        <v>45408</v>
      </c>
      <c r="C38" s="662"/>
      <c r="D38" s="662"/>
      <c r="E38" s="662"/>
      <c r="F38" s="662"/>
      <c r="G38" s="662"/>
      <c r="H38" s="662"/>
      <c r="M38" s="160"/>
    </row>
    <row r="39" spans="1:13" ht="15.75">
      <c r="A39" s="654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5" t="s">
        <v>8</v>
      </c>
      <c r="B40" s="663" t="str">
        <f>authorName</f>
        <v>Диана Петкова</v>
      </c>
      <c r="C40" s="663"/>
      <c r="D40" s="663"/>
      <c r="E40" s="663"/>
      <c r="F40" s="663"/>
      <c r="G40" s="663"/>
      <c r="H40" s="663"/>
      <c r="M40" s="160"/>
    </row>
    <row r="41" spans="1:13" ht="15.75">
      <c r="A41" s="655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5" t="s">
        <v>894</v>
      </c>
      <c r="B42" s="664"/>
      <c r="C42" s="664"/>
      <c r="D42" s="664"/>
      <c r="E42" s="664"/>
      <c r="F42" s="664"/>
      <c r="G42" s="664"/>
      <c r="H42" s="664"/>
      <c r="M42" s="160"/>
    </row>
    <row r="43" spans="1:13" ht="15.75">
      <c r="A43" s="656"/>
      <c r="B43" s="661" t="s">
        <v>951</v>
      </c>
      <c r="C43" s="661"/>
      <c r="D43" s="661"/>
      <c r="E43" s="661"/>
      <c r="F43" s="540"/>
      <c r="G43" s="44"/>
      <c r="H43" s="41"/>
      <c r="M43" s="160"/>
    </row>
    <row r="44" spans="1:13" ht="15.75">
      <c r="A44" s="656"/>
      <c r="B44" s="661" t="s">
        <v>951</v>
      </c>
      <c r="C44" s="661"/>
      <c r="D44" s="661"/>
      <c r="E44" s="661"/>
      <c r="F44" s="540"/>
      <c r="G44" s="44"/>
      <c r="H44" s="41"/>
      <c r="M44" s="160"/>
    </row>
    <row r="45" spans="1:13" ht="15.75">
      <c r="A45" s="656"/>
      <c r="B45" s="661" t="s">
        <v>951</v>
      </c>
      <c r="C45" s="661"/>
      <c r="D45" s="661"/>
      <c r="E45" s="661"/>
      <c r="F45" s="540"/>
      <c r="G45" s="44"/>
      <c r="H45" s="41"/>
      <c r="M45" s="160"/>
    </row>
    <row r="46" spans="1:13" ht="15.75">
      <c r="A46" s="656"/>
      <c r="B46" s="661" t="s">
        <v>951</v>
      </c>
      <c r="C46" s="661"/>
      <c r="D46" s="661"/>
      <c r="E46" s="661"/>
      <c r="F46" s="540"/>
      <c r="G46" s="44"/>
      <c r="H46" s="41"/>
      <c r="M46" s="160"/>
    </row>
    <row r="47" spans="1:13" ht="15.75">
      <c r="A47" s="656"/>
      <c r="B47" s="661"/>
      <c r="C47" s="661"/>
      <c r="D47" s="661"/>
      <c r="E47" s="661"/>
      <c r="F47" s="540"/>
      <c r="G47" s="44"/>
      <c r="H47" s="41"/>
      <c r="M47" s="160"/>
    </row>
    <row r="48" spans="1:13" ht="15.75">
      <c r="A48" s="656"/>
      <c r="B48" s="661"/>
      <c r="C48" s="661"/>
      <c r="D48" s="661"/>
      <c r="E48" s="661"/>
      <c r="F48" s="540"/>
      <c r="G48" s="44"/>
      <c r="H48" s="41"/>
      <c r="M48" s="160"/>
    </row>
    <row r="49" spans="1:13" ht="15.75">
      <c r="A49" s="656"/>
      <c r="B49" s="661"/>
      <c r="C49" s="661"/>
      <c r="D49" s="661"/>
      <c r="E49" s="661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D11" sqref="D11: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2" t="s">
        <v>453</v>
      </c>
      <c r="B7" s="683"/>
      <c r="C7" s="686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78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78" t="s">
        <v>513</v>
      </c>
      <c r="R7" s="680" t="s">
        <v>514</v>
      </c>
    </row>
    <row r="8" spans="1:18" s="119" customFormat="1" ht="66.75" customHeight="1">
      <c r="A8" s="684"/>
      <c r="B8" s="685"/>
      <c r="C8" s="687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9"/>
      <c r="R8" s="681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 aca="true" t="shared" si="0" ref="J11:J27"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1" ref="Q11:Q27">N11+O11-P11</f>
        <v>0</v>
      </c>
      <c r="R11" s="328">
        <f aca="true" t="shared" si="2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7407</v>
      </c>
      <c r="E12" s="316">
        <v>44</v>
      </c>
      <c r="F12" s="316"/>
      <c r="G12" s="317">
        <f aca="true" t="shared" si="3" ref="G12:G41">D12+E12-F12</f>
        <v>7451</v>
      </c>
      <c r="H12" s="316"/>
      <c r="I12" s="316"/>
      <c r="J12" s="317">
        <f t="shared" si="0"/>
        <v>7451</v>
      </c>
      <c r="K12" s="316">
        <v>986</v>
      </c>
      <c r="L12" s="316">
        <v>100</v>
      </c>
      <c r="M12" s="316"/>
      <c r="N12" s="317">
        <f aca="true" t="shared" si="4" ref="N12:N41">K12+L12-M12</f>
        <v>1086</v>
      </c>
      <c r="O12" s="316"/>
      <c r="P12" s="316"/>
      <c r="Q12" s="317">
        <f t="shared" si="1"/>
        <v>1086</v>
      </c>
      <c r="R12" s="328">
        <f t="shared" si="2"/>
        <v>6365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f>2464+4794</f>
        <v>7258</v>
      </c>
      <c r="E13" s="316">
        <f>26+648</f>
        <v>674</v>
      </c>
      <c r="F13" s="316">
        <v>195</v>
      </c>
      <c r="G13" s="317">
        <f t="shared" si="3"/>
        <v>7737</v>
      </c>
      <c r="H13" s="316"/>
      <c r="I13" s="316"/>
      <c r="J13" s="317">
        <f t="shared" si="0"/>
        <v>7737</v>
      </c>
      <c r="K13" s="316">
        <f>2168+4067</f>
        <v>6235</v>
      </c>
      <c r="L13" s="316">
        <f>65+454</f>
        <v>519</v>
      </c>
      <c r="M13" s="316">
        <v>193</v>
      </c>
      <c r="N13" s="317">
        <f t="shared" si="4"/>
        <v>6561</v>
      </c>
      <c r="O13" s="316"/>
      <c r="P13" s="316"/>
      <c r="Q13" s="317">
        <f t="shared" si="1"/>
        <v>6561</v>
      </c>
      <c r="R13" s="328">
        <f t="shared" si="2"/>
        <v>1176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0</v>
      </c>
      <c r="E14" s="316"/>
      <c r="F14" s="316"/>
      <c r="G14" s="317">
        <f t="shared" si="3"/>
        <v>0</v>
      </c>
      <c r="H14" s="316"/>
      <c r="I14" s="316"/>
      <c r="J14" s="317">
        <f t="shared" si="0"/>
        <v>0</v>
      </c>
      <c r="K14" s="316">
        <v>0</v>
      </c>
      <c r="L14" s="316"/>
      <c r="M14" s="316"/>
      <c r="N14" s="317">
        <f t="shared" si="4"/>
        <v>0</v>
      </c>
      <c r="O14" s="316"/>
      <c r="P14" s="316"/>
      <c r="Q14" s="317">
        <f t="shared" si="1"/>
        <v>0</v>
      </c>
      <c r="R14" s="328">
        <f t="shared" si="2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470</v>
      </c>
      <c r="E15" s="316">
        <v>151</v>
      </c>
      <c r="F15" s="316"/>
      <c r="G15" s="317">
        <f t="shared" si="3"/>
        <v>621</v>
      </c>
      <c r="H15" s="316"/>
      <c r="I15" s="316"/>
      <c r="J15" s="317">
        <f t="shared" si="0"/>
        <v>621</v>
      </c>
      <c r="K15" s="316">
        <v>296</v>
      </c>
      <c r="L15" s="316">
        <v>82</v>
      </c>
      <c r="M15" s="316"/>
      <c r="N15" s="317">
        <f t="shared" si="4"/>
        <v>378</v>
      </c>
      <c r="O15" s="316"/>
      <c r="P15" s="316"/>
      <c r="Q15" s="317">
        <f t="shared" si="1"/>
        <v>378</v>
      </c>
      <c r="R15" s="328">
        <f t="shared" si="2"/>
        <v>243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688</v>
      </c>
      <c r="E16" s="316">
        <v>78</v>
      </c>
      <c r="F16" s="316"/>
      <c r="G16" s="317">
        <f t="shared" si="3"/>
        <v>766</v>
      </c>
      <c r="H16" s="316"/>
      <c r="I16" s="316"/>
      <c r="J16" s="317">
        <f t="shared" si="0"/>
        <v>766</v>
      </c>
      <c r="K16" s="316">
        <v>396</v>
      </c>
      <c r="L16" s="316">
        <v>81</v>
      </c>
      <c r="M16" s="316"/>
      <c r="N16" s="317">
        <f t="shared" si="4"/>
        <v>477</v>
      </c>
      <c r="O16" s="316"/>
      <c r="P16" s="316"/>
      <c r="Q16" s="317">
        <f t="shared" si="1"/>
        <v>477</v>
      </c>
      <c r="R16" s="328">
        <f t="shared" si="2"/>
        <v>289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20</v>
      </c>
      <c r="E17" s="316">
        <v>373</v>
      </c>
      <c r="F17" s="316">
        <v>149</v>
      </c>
      <c r="G17" s="317">
        <f t="shared" si="3"/>
        <v>244</v>
      </c>
      <c r="H17" s="316"/>
      <c r="I17" s="316"/>
      <c r="J17" s="317">
        <f t="shared" si="0"/>
        <v>244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1"/>
        <v>0</v>
      </c>
      <c r="R17" s="328">
        <f t="shared" si="2"/>
        <v>244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f>3313+811</f>
        <v>4124</v>
      </c>
      <c r="E18" s="316">
        <f>1295+208</f>
        <v>1503</v>
      </c>
      <c r="F18" s="316">
        <v>1861</v>
      </c>
      <c r="G18" s="317">
        <f t="shared" si="3"/>
        <v>3766</v>
      </c>
      <c r="H18" s="316"/>
      <c r="I18" s="316"/>
      <c r="J18" s="317">
        <f t="shared" si="0"/>
        <v>3766</v>
      </c>
      <c r="K18" s="316">
        <f>1446+727</f>
        <v>2173</v>
      </c>
      <c r="L18" s="316">
        <f>614+34</f>
        <v>648</v>
      </c>
      <c r="M18" s="316">
        <v>919</v>
      </c>
      <c r="N18" s="317">
        <f t="shared" si="4"/>
        <v>1902</v>
      </c>
      <c r="O18" s="316"/>
      <c r="P18" s="316"/>
      <c r="Q18" s="317">
        <f t="shared" si="1"/>
        <v>1902</v>
      </c>
      <c r="R18" s="328">
        <f t="shared" si="2"/>
        <v>1864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19967</v>
      </c>
      <c r="E19" s="318">
        <f>SUM(E11:E18)</f>
        <v>2823</v>
      </c>
      <c r="F19" s="318">
        <f>SUM(F11:F18)</f>
        <v>2205</v>
      </c>
      <c r="G19" s="317">
        <f t="shared" si="3"/>
        <v>20585</v>
      </c>
      <c r="H19" s="318">
        <f>SUM(H11:H18)</f>
        <v>0</v>
      </c>
      <c r="I19" s="318">
        <f>SUM(I11:I18)</f>
        <v>0</v>
      </c>
      <c r="J19" s="317">
        <f t="shared" si="0"/>
        <v>20585</v>
      </c>
      <c r="K19" s="318">
        <f>SUM(K11:K18)</f>
        <v>10086</v>
      </c>
      <c r="L19" s="318">
        <f>SUM(L11:L18)</f>
        <v>1430</v>
      </c>
      <c r="M19" s="318">
        <f>SUM(M11:M18)</f>
        <v>1112</v>
      </c>
      <c r="N19" s="317">
        <f t="shared" si="4"/>
        <v>10404</v>
      </c>
      <c r="O19" s="318">
        <f>SUM(O11:O18)</f>
        <v>0</v>
      </c>
      <c r="P19" s="318">
        <f>SUM(P11:P18)</f>
        <v>0</v>
      </c>
      <c r="Q19" s="317">
        <f t="shared" si="1"/>
        <v>10404</v>
      </c>
      <c r="R19" s="328">
        <f t="shared" si="2"/>
        <v>10181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3"/>
        <v>0</v>
      </c>
      <c r="H20" s="316"/>
      <c r="I20" s="316"/>
      <c r="J20" s="317">
        <f t="shared" si="0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1"/>
        <v>0</v>
      </c>
      <c r="R20" s="328">
        <f t="shared" si="2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3"/>
        <v>0</v>
      </c>
      <c r="H21" s="316"/>
      <c r="I21" s="316"/>
      <c r="J21" s="317">
        <f t="shared" si="0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1"/>
        <v>0</v>
      </c>
      <c r="R21" s="328">
        <f t="shared" si="2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3"/>
        <v>0</v>
      </c>
      <c r="H22" s="319"/>
      <c r="I22" s="319"/>
      <c r="J22" s="317">
        <f t="shared" si="0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1"/>
        <v>0</v>
      </c>
      <c r="R22" s="328">
        <f t="shared" si="2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11347</v>
      </c>
      <c r="E23" s="316">
        <v>1250</v>
      </c>
      <c r="F23" s="316"/>
      <c r="G23" s="317">
        <f t="shared" si="3"/>
        <v>12597</v>
      </c>
      <c r="H23" s="316"/>
      <c r="I23" s="316"/>
      <c r="J23" s="317">
        <f t="shared" si="0"/>
        <v>12597</v>
      </c>
      <c r="K23" s="316">
        <v>7301</v>
      </c>
      <c r="L23" s="316">
        <v>1075</v>
      </c>
      <c r="M23" s="316"/>
      <c r="N23" s="317">
        <f t="shared" si="4"/>
        <v>8376</v>
      </c>
      <c r="O23" s="316"/>
      <c r="P23" s="316"/>
      <c r="Q23" s="317">
        <f t="shared" si="1"/>
        <v>8376</v>
      </c>
      <c r="R23" s="328">
        <f t="shared" si="2"/>
        <v>4221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2499</v>
      </c>
      <c r="E24" s="316">
        <v>264</v>
      </c>
      <c r="F24" s="316"/>
      <c r="G24" s="317">
        <f t="shared" si="3"/>
        <v>2763</v>
      </c>
      <c r="H24" s="316"/>
      <c r="I24" s="316"/>
      <c r="J24" s="317">
        <f t="shared" si="0"/>
        <v>2763</v>
      </c>
      <c r="K24" s="316">
        <v>1774</v>
      </c>
      <c r="L24" s="316">
        <v>75</v>
      </c>
      <c r="M24" s="316"/>
      <c r="N24" s="317">
        <f t="shared" si="4"/>
        <v>1849</v>
      </c>
      <c r="O24" s="316"/>
      <c r="P24" s="316"/>
      <c r="Q24" s="317">
        <f t="shared" si="1"/>
        <v>1849</v>
      </c>
      <c r="R24" s="328">
        <f t="shared" si="2"/>
        <v>914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f>22103+9176</f>
        <v>31279</v>
      </c>
      <c r="E25" s="316">
        <f>1204+513+833+77</f>
        <v>2627</v>
      </c>
      <c r="F25" s="316">
        <f>4783+458</f>
        <v>5241</v>
      </c>
      <c r="G25" s="317">
        <f t="shared" si="3"/>
        <v>28665</v>
      </c>
      <c r="H25" s="316"/>
      <c r="I25" s="316"/>
      <c r="J25" s="317">
        <f t="shared" si="0"/>
        <v>28665</v>
      </c>
      <c r="K25" s="316">
        <f>17418+2786</f>
        <v>20204</v>
      </c>
      <c r="L25" s="316">
        <v>746</v>
      </c>
      <c r="M25" s="316">
        <v>2786</v>
      </c>
      <c r="N25" s="317">
        <f t="shared" si="4"/>
        <v>18164</v>
      </c>
      <c r="O25" s="316"/>
      <c r="P25" s="316"/>
      <c r="Q25" s="317">
        <f t="shared" si="1"/>
        <v>18164</v>
      </c>
      <c r="R25" s="328">
        <f t="shared" si="2"/>
        <v>10501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6787</v>
      </c>
      <c r="E26" s="316">
        <v>436</v>
      </c>
      <c r="F26" s="316">
        <v>95</v>
      </c>
      <c r="G26" s="317">
        <f t="shared" si="3"/>
        <v>7128</v>
      </c>
      <c r="H26" s="316"/>
      <c r="I26" s="316"/>
      <c r="J26" s="317">
        <f t="shared" si="0"/>
        <v>7128</v>
      </c>
      <c r="K26" s="316">
        <v>1927</v>
      </c>
      <c r="L26" s="316">
        <v>468</v>
      </c>
      <c r="M26" s="316">
        <v>18</v>
      </c>
      <c r="N26" s="317">
        <f t="shared" si="4"/>
        <v>2377</v>
      </c>
      <c r="O26" s="316"/>
      <c r="P26" s="316"/>
      <c r="Q26" s="317">
        <f t="shared" si="1"/>
        <v>2377</v>
      </c>
      <c r="R26" s="328">
        <f t="shared" si="2"/>
        <v>4751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51912</v>
      </c>
      <c r="E27" s="320">
        <f aca="true" t="shared" si="5" ref="E27:P27">SUM(E23:E26)</f>
        <v>4577</v>
      </c>
      <c r="F27" s="320">
        <f t="shared" si="5"/>
        <v>5336</v>
      </c>
      <c r="G27" s="321">
        <f t="shared" si="3"/>
        <v>51153</v>
      </c>
      <c r="H27" s="320">
        <f t="shared" si="5"/>
        <v>0</v>
      </c>
      <c r="I27" s="320">
        <f t="shared" si="5"/>
        <v>0</v>
      </c>
      <c r="J27" s="321">
        <f t="shared" si="0"/>
        <v>51153</v>
      </c>
      <c r="K27" s="320">
        <f t="shared" si="5"/>
        <v>31206</v>
      </c>
      <c r="L27" s="320">
        <f t="shared" si="5"/>
        <v>2364</v>
      </c>
      <c r="M27" s="320">
        <f t="shared" si="5"/>
        <v>2804</v>
      </c>
      <c r="N27" s="321">
        <f t="shared" si="4"/>
        <v>30766</v>
      </c>
      <c r="O27" s="320">
        <f t="shared" si="5"/>
        <v>0</v>
      </c>
      <c r="P27" s="320">
        <f t="shared" si="5"/>
        <v>0</v>
      </c>
      <c r="Q27" s="321">
        <f t="shared" si="1"/>
        <v>30766</v>
      </c>
      <c r="R27" s="331">
        <f t="shared" si="2"/>
        <v>20387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18502</v>
      </c>
      <c r="E29" s="323">
        <f aca="true" t="shared" si="6" ref="E29:P29">SUM(E30:E33)</f>
        <v>0</v>
      </c>
      <c r="F29" s="323">
        <f t="shared" si="6"/>
        <v>18502</v>
      </c>
      <c r="G29" s="324">
        <f t="shared" si="3"/>
        <v>0</v>
      </c>
      <c r="H29" s="323">
        <f t="shared" si="6"/>
        <v>0</v>
      </c>
      <c r="I29" s="323">
        <f t="shared" si="6"/>
        <v>0</v>
      </c>
      <c r="J29" s="324">
        <f aca="true" t="shared" si="7" ref="J29:J41">G29+H29-I29</f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3"/>
        <v>0</v>
      </c>
      <c r="H30" s="316"/>
      <c r="I30" s="316"/>
      <c r="J30" s="317">
        <f t="shared" si="7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8" ref="Q30:Q41">N30+O30-P30</f>
        <v>0</v>
      </c>
      <c r="R30" s="328">
        <f aca="true" t="shared" si="9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3"/>
        <v>0</v>
      </c>
      <c r="H31" s="316"/>
      <c r="I31" s="316"/>
      <c r="J31" s="317">
        <f t="shared" si="7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8"/>
        <v>0</v>
      </c>
      <c r="R31" s="328">
        <f t="shared" si="9"/>
        <v>0</v>
      </c>
    </row>
    <row r="32" spans="1:18" ht="15.75">
      <c r="A32" s="327"/>
      <c r="B32" s="309" t="s">
        <v>113</v>
      </c>
      <c r="C32" s="143" t="s">
        <v>565</v>
      </c>
      <c r="D32" s="316">
        <f>+'1-Баланс'!D38</f>
        <v>18502</v>
      </c>
      <c r="E32" s="316"/>
      <c r="F32" s="316">
        <v>18502</v>
      </c>
      <c r="G32" s="317">
        <f t="shared" si="3"/>
        <v>0</v>
      </c>
      <c r="H32" s="316"/>
      <c r="I32" s="316"/>
      <c r="J32" s="317">
        <f t="shared" si="7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8"/>
        <v>0</v>
      </c>
      <c r="R32" s="328">
        <f t="shared" si="9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3"/>
        <v>0</v>
      </c>
      <c r="H33" s="316"/>
      <c r="I33" s="316"/>
      <c r="J33" s="317">
        <f t="shared" si="7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8"/>
        <v>0</v>
      </c>
      <c r="R33" s="328">
        <f t="shared" si="9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10" ref="E34:P34">SUM(E35:E38)</f>
        <v>0</v>
      </c>
      <c r="F34" s="312">
        <f t="shared" si="10"/>
        <v>0</v>
      </c>
      <c r="G34" s="317">
        <f t="shared" si="3"/>
        <v>0</v>
      </c>
      <c r="H34" s="312">
        <f t="shared" si="10"/>
        <v>0</v>
      </c>
      <c r="I34" s="312">
        <f t="shared" si="10"/>
        <v>0</v>
      </c>
      <c r="J34" s="317">
        <f t="shared" si="7"/>
        <v>0</v>
      </c>
      <c r="K34" s="312">
        <f t="shared" si="10"/>
        <v>0</v>
      </c>
      <c r="L34" s="312">
        <f t="shared" si="10"/>
        <v>0</v>
      </c>
      <c r="M34" s="312">
        <f t="shared" si="10"/>
        <v>0</v>
      </c>
      <c r="N34" s="317">
        <f t="shared" si="4"/>
        <v>0</v>
      </c>
      <c r="O34" s="312">
        <f t="shared" si="10"/>
        <v>0</v>
      </c>
      <c r="P34" s="312">
        <f t="shared" si="10"/>
        <v>0</v>
      </c>
      <c r="Q34" s="317">
        <f t="shared" si="8"/>
        <v>0</v>
      </c>
      <c r="R34" s="328">
        <f t="shared" si="9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3"/>
        <v>0</v>
      </c>
      <c r="H35" s="316"/>
      <c r="I35" s="316"/>
      <c r="J35" s="317">
        <f t="shared" si="7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8"/>
        <v>0</v>
      </c>
      <c r="R35" s="328">
        <f t="shared" si="9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3"/>
        <v>0</v>
      </c>
      <c r="H36" s="316"/>
      <c r="I36" s="316"/>
      <c r="J36" s="317">
        <f t="shared" si="7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8"/>
        <v>0</v>
      </c>
      <c r="R36" s="328">
        <f t="shared" si="9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3"/>
        <v>0</v>
      </c>
      <c r="H37" s="316"/>
      <c r="I37" s="316"/>
      <c r="J37" s="317">
        <f t="shared" si="7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8"/>
        <v>0</v>
      </c>
      <c r="R37" s="328">
        <f t="shared" si="9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3"/>
        <v>0</v>
      </c>
      <c r="H38" s="316"/>
      <c r="I38" s="316"/>
      <c r="J38" s="317">
        <f t="shared" si="7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8"/>
        <v>0</v>
      </c>
      <c r="R38" s="328">
        <f t="shared" si="9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f>+'1-Баланс'!D45</f>
        <v>336</v>
      </c>
      <c r="E39" s="316"/>
      <c r="F39" s="316"/>
      <c r="G39" s="317">
        <f t="shared" si="3"/>
        <v>336</v>
      </c>
      <c r="H39" s="316"/>
      <c r="I39" s="316">
        <v>336</v>
      </c>
      <c r="J39" s="317">
        <f t="shared" si="7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8"/>
        <v>0</v>
      </c>
      <c r="R39" s="328">
        <f t="shared" si="9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18838</v>
      </c>
      <c r="E40" s="318">
        <f aca="true" t="shared" si="11" ref="E40:P40">E29+E34+E39</f>
        <v>0</v>
      </c>
      <c r="F40" s="318">
        <f t="shared" si="11"/>
        <v>18502</v>
      </c>
      <c r="G40" s="317">
        <f t="shared" si="3"/>
        <v>336</v>
      </c>
      <c r="H40" s="318">
        <f t="shared" si="11"/>
        <v>0</v>
      </c>
      <c r="I40" s="318">
        <f t="shared" si="11"/>
        <v>336</v>
      </c>
      <c r="J40" s="317">
        <f t="shared" si="7"/>
        <v>0</v>
      </c>
      <c r="K40" s="318">
        <f t="shared" si="11"/>
        <v>0</v>
      </c>
      <c r="L40" s="318">
        <f t="shared" si="11"/>
        <v>0</v>
      </c>
      <c r="M40" s="318">
        <f t="shared" si="11"/>
        <v>0</v>
      </c>
      <c r="N40" s="317">
        <f t="shared" si="4"/>
        <v>0</v>
      </c>
      <c r="O40" s="318">
        <f t="shared" si="11"/>
        <v>0</v>
      </c>
      <c r="P40" s="318">
        <f t="shared" si="11"/>
        <v>0</v>
      </c>
      <c r="Q40" s="317">
        <f t="shared" si="8"/>
        <v>0</v>
      </c>
      <c r="R40" s="328">
        <f t="shared" si="9"/>
        <v>0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f>+'1-Баланс'!D31</f>
        <v>26252</v>
      </c>
      <c r="E41" s="316"/>
      <c r="F41" s="316"/>
      <c r="G41" s="317">
        <f t="shared" si="3"/>
        <v>26252</v>
      </c>
      <c r="H41" s="316"/>
      <c r="I41" s="316"/>
      <c r="J41" s="317">
        <f t="shared" si="7"/>
        <v>26252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8"/>
        <v>0</v>
      </c>
      <c r="R41" s="328">
        <f t="shared" si="9"/>
        <v>26252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116969</v>
      </c>
      <c r="E42" s="337">
        <f>E19+E20+E21+E27+E40+E41</f>
        <v>7400</v>
      </c>
      <c r="F42" s="337">
        <f aca="true" t="shared" si="12" ref="F42:R42">F19+F20+F21+F27+F40+F41</f>
        <v>26043</v>
      </c>
      <c r="G42" s="337">
        <f t="shared" si="12"/>
        <v>98326</v>
      </c>
      <c r="H42" s="337">
        <f t="shared" si="12"/>
        <v>0</v>
      </c>
      <c r="I42" s="337">
        <f t="shared" si="12"/>
        <v>336</v>
      </c>
      <c r="J42" s="337">
        <f t="shared" si="12"/>
        <v>97990</v>
      </c>
      <c r="K42" s="337">
        <f t="shared" si="12"/>
        <v>41292</v>
      </c>
      <c r="L42" s="337">
        <f t="shared" si="12"/>
        <v>3794</v>
      </c>
      <c r="M42" s="337">
        <f t="shared" si="12"/>
        <v>3916</v>
      </c>
      <c r="N42" s="337">
        <f t="shared" si="12"/>
        <v>41170</v>
      </c>
      <c r="O42" s="337">
        <f t="shared" si="12"/>
        <v>0</v>
      </c>
      <c r="P42" s="337">
        <f t="shared" si="12"/>
        <v>0</v>
      </c>
      <c r="Q42" s="337">
        <f t="shared" si="12"/>
        <v>41170</v>
      </c>
      <c r="R42" s="338">
        <f t="shared" si="12"/>
        <v>56820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4" t="s">
        <v>949</v>
      </c>
      <c r="C45" s="662">
        <f>pdeReportingDate</f>
        <v>45408</v>
      </c>
      <c r="D45" s="662"/>
      <c r="E45" s="662"/>
      <c r="F45" s="662"/>
      <c r="G45" s="662"/>
      <c r="H45" s="662"/>
      <c r="I45" s="662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4"/>
      <c r="C46" s="51"/>
      <c r="D46" s="51"/>
      <c r="E46" s="51"/>
      <c r="F46" s="51"/>
      <c r="G46" s="51"/>
      <c r="H46" s="51"/>
      <c r="I46" s="51"/>
    </row>
    <row r="47" spans="2:9" ht="15.75">
      <c r="B47" s="655" t="s">
        <v>8</v>
      </c>
      <c r="C47" s="663" t="str">
        <f>authorName</f>
        <v>Диана Петкова</v>
      </c>
      <c r="D47" s="663"/>
      <c r="E47" s="663"/>
      <c r="F47" s="663"/>
      <c r="G47" s="663"/>
      <c r="H47" s="663"/>
      <c r="I47" s="663"/>
    </row>
    <row r="48" spans="2:9" ht="15.75">
      <c r="B48" s="655"/>
      <c r="C48" s="75"/>
      <c r="D48" s="75"/>
      <c r="E48" s="75"/>
      <c r="F48" s="75"/>
      <c r="G48" s="75"/>
      <c r="H48" s="75"/>
      <c r="I48" s="75"/>
    </row>
    <row r="49" spans="2:9" ht="15.75">
      <c r="B49" s="655" t="s">
        <v>894</v>
      </c>
      <c r="C49" s="664"/>
      <c r="D49" s="664"/>
      <c r="E49" s="664"/>
      <c r="F49" s="664"/>
      <c r="G49" s="664"/>
      <c r="H49" s="664"/>
      <c r="I49" s="664"/>
    </row>
    <row r="50" spans="2:9" ht="15.75">
      <c r="B50" s="656"/>
      <c r="C50" s="661" t="s">
        <v>951</v>
      </c>
      <c r="D50" s="661"/>
      <c r="E50" s="661"/>
      <c r="F50" s="661"/>
      <c r="G50" s="540"/>
      <c r="H50" s="44"/>
      <c r="I50" s="41"/>
    </row>
    <row r="51" spans="2:9" ht="15.75">
      <c r="B51" s="656"/>
      <c r="C51" s="661" t="s">
        <v>951</v>
      </c>
      <c r="D51" s="661"/>
      <c r="E51" s="661"/>
      <c r="F51" s="661"/>
      <c r="G51" s="540"/>
      <c r="H51" s="44"/>
      <c r="I51" s="41"/>
    </row>
    <row r="52" spans="2:9" ht="15.75">
      <c r="B52" s="656"/>
      <c r="C52" s="661" t="s">
        <v>951</v>
      </c>
      <c r="D52" s="661"/>
      <c r="E52" s="661"/>
      <c r="F52" s="661"/>
      <c r="G52" s="540"/>
      <c r="H52" s="44"/>
      <c r="I52" s="41"/>
    </row>
    <row r="53" spans="2:9" ht="15.75">
      <c r="B53" s="656"/>
      <c r="C53" s="661" t="s">
        <v>951</v>
      </c>
      <c r="D53" s="661"/>
      <c r="E53" s="661"/>
      <c r="F53" s="661"/>
      <c r="G53" s="540"/>
      <c r="H53" s="44"/>
      <c r="I53" s="41"/>
    </row>
    <row r="54" spans="2:9" ht="15.75">
      <c r="B54" s="656"/>
      <c r="C54" s="661"/>
      <c r="D54" s="661"/>
      <c r="E54" s="661"/>
      <c r="F54" s="661"/>
      <c r="G54" s="540"/>
      <c r="H54" s="44"/>
      <c r="I54" s="41"/>
    </row>
    <row r="55" spans="2:9" ht="15.75">
      <c r="B55" s="656"/>
      <c r="C55" s="661"/>
      <c r="D55" s="661"/>
      <c r="E55" s="661"/>
      <c r="F55" s="661"/>
      <c r="G55" s="540"/>
      <c r="H55" s="44"/>
      <c r="I55" s="41"/>
    </row>
    <row r="56" spans="2:9" ht="15.75">
      <c r="B56" s="656"/>
      <c r="C56" s="661"/>
      <c r="D56" s="661"/>
      <c r="E56" s="661"/>
      <c r="F56" s="661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C54" sqref="C54:F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1" t="s">
        <v>453</v>
      </c>
      <c r="B8" s="693" t="s">
        <v>11</v>
      </c>
      <c r="C8" s="689" t="s">
        <v>587</v>
      </c>
      <c r="D8" s="353" t="s">
        <v>588</v>
      </c>
      <c r="E8" s="354"/>
      <c r="F8" s="118"/>
    </row>
    <row r="9" spans="1:6" s="119" customFormat="1" ht="15.75">
      <c r="A9" s="692"/>
      <c r="B9" s="694"/>
      <c r="C9" s="690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295</v>
      </c>
      <c r="D13" s="350">
        <f>SUM(D14:D16)</f>
        <v>0</v>
      </c>
      <c r="E13" s="357">
        <f>SUM(E14:E16)</f>
        <v>295</v>
      </c>
      <c r="F13" s="124"/>
    </row>
    <row r="14" spans="1:6" ht="15.75">
      <c r="A14" s="358" t="s">
        <v>596</v>
      </c>
      <c r="B14" s="126" t="s">
        <v>597</v>
      </c>
      <c r="C14" s="356">
        <v>295</v>
      </c>
      <c r="D14" s="356"/>
      <c r="E14" s="357">
        <f aca="true" t="shared" si="0" ref="E14:E44">C14-D14</f>
        <v>295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295</v>
      </c>
      <c r="D21" s="428">
        <f>D13+D17+D18</f>
        <v>0</v>
      </c>
      <c r="E21" s="429">
        <f>E13+E17+E18</f>
        <v>295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f>+'1-Баланс'!C55</f>
        <v>1469</v>
      </c>
      <c r="D23" s="431"/>
      <c r="E23" s="430">
        <f t="shared" si="0"/>
        <v>1469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99</v>
      </c>
      <c r="D26" s="350">
        <f>SUM(D27:D29)</f>
        <v>99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>
        <f>+'1-Баланс'!C68</f>
        <v>99</v>
      </c>
      <c r="D28" s="356">
        <f>+C28</f>
        <v>99</v>
      </c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/>
      <c r="D29" s="356"/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f>+'1-Баланс'!C69</f>
        <v>15725</v>
      </c>
      <c r="D30" s="356">
        <v>14216</v>
      </c>
      <c r="E30" s="357">
        <f t="shared" si="0"/>
        <v>1509</v>
      </c>
      <c r="F30" s="124"/>
    </row>
    <row r="31" spans="1:6" ht="15.75">
      <c r="A31" s="358" t="s">
        <v>625</v>
      </c>
      <c r="B31" s="126" t="s">
        <v>626</v>
      </c>
      <c r="C31" s="356">
        <f>+'1-Баланс'!C70</f>
        <v>234</v>
      </c>
      <c r="D31" s="356">
        <v>6167</v>
      </c>
      <c r="E31" s="357">
        <f t="shared" si="0"/>
        <v>-5933</v>
      </c>
      <c r="F31" s="124"/>
    </row>
    <row r="32" spans="1:6" ht="15.75">
      <c r="A32" s="358" t="s">
        <v>627</v>
      </c>
      <c r="B32" s="126" t="s">
        <v>628</v>
      </c>
      <c r="C32" s="356"/>
      <c r="D32" s="356"/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413</v>
      </c>
      <c r="D35" s="350">
        <f>SUM(D36:D39)</f>
        <v>413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27</v>
      </c>
      <c r="D36" s="356">
        <f>+C36</f>
        <v>27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f>+'1-Баланс'!C73-'Справка 7'!C36</f>
        <v>386</v>
      </c>
      <c r="D37" s="356">
        <f>+C37</f>
        <v>386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0</v>
      </c>
      <c r="D40" s="350">
        <f>SUM(D41:D44)</f>
        <v>0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/>
      <c r="D44" s="356"/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16471</v>
      </c>
      <c r="D45" s="426">
        <f>D26+D30+D31+D33+D32+D34+D35+D40</f>
        <v>20895</v>
      </c>
      <c r="E45" s="427">
        <f>E26+E30+E31+E33+E32+E34+E35+E40</f>
        <v>-4424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18235</v>
      </c>
      <c r="D46" s="432">
        <f>D45+D23+D21+D11</f>
        <v>20895</v>
      </c>
      <c r="E46" s="433">
        <f>E45+E23+E21+E11</f>
        <v>-2660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1" t="s">
        <v>453</v>
      </c>
      <c r="B50" s="693" t="s">
        <v>11</v>
      </c>
      <c r="C50" s="695" t="s">
        <v>658</v>
      </c>
      <c r="D50" s="353" t="s">
        <v>659</v>
      </c>
      <c r="E50" s="353"/>
      <c r="F50" s="697" t="s">
        <v>660</v>
      </c>
    </row>
    <row r="51" spans="1:6" s="119" customFormat="1" ht="18" customHeight="1">
      <c r="A51" s="692"/>
      <c r="B51" s="694"/>
      <c r="C51" s="696"/>
      <c r="D51" s="121" t="s">
        <v>589</v>
      </c>
      <c r="E51" s="121" t="s">
        <v>590</v>
      </c>
      <c r="F51" s="698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328</v>
      </c>
      <c r="D54" s="129">
        <f>SUM(D55:D57)</f>
        <v>0</v>
      </c>
      <c r="E54" s="127">
        <f>C54-D54</f>
        <v>328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>
        <f>+'1-Баланс'!G44</f>
        <v>328</v>
      </c>
      <c r="D57" s="188"/>
      <c r="E57" s="127">
        <f t="shared" si="1"/>
        <v>328</v>
      </c>
      <c r="F57" s="187"/>
    </row>
    <row r="58" spans="1:6" ht="31.5">
      <c r="A58" s="358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f>+'1-Баланс'!G45+'1-Баланс'!G49</f>
        <v>1879</v>
      </c>
      <c r="D66" s="188"/>
      <c r="E66" s="127">
        <f t="shared" si="1"/>
        <v>1879</v>
      </c>
      <c r="F66" s="187"/>
    </row>
    <row r="67" spans="1:6" ht="15.75">
      <c r="A67" s="358" t="s">
        <v>684</v>
      </c>
      <c r="B67" s="126" t="s">
        <v>685</v>
      </c>
      <c r="C67" s="188">
        <f>+'1-Баланс'!G45</f>
        <v>1283</v>
      </c>
      <c r="D67" s="188"/>
      <c r="E67" s="127">
        <f t="shared" si="1"/>
        <v>1283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2207</v>
      </c>
      <c r="D68" s="423">
        <f>D54+D58+D63+D64+D65+D66</f>
        <v>0</v>
      </c>
      <c r="E68" s="424">
        <f t="shared" si="1"/>
        <v>2207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f>+'1-Баланс'!G54</f>
        <v>280</v>
      </c>
      <c r="D70" s="188"/>
      <c r="E70" s="127">
        <f t="shared" si="1"/>
        <v>280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532</v>
      </c>
      <c r="D73" s="128">
        <f>SUM(D74:D76)</f>
        <v>532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>
        <v>29</v>
      </c>
      <c r="D74" s="188">
        <f>+C74</f>
        <v>29</v>
      </c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>
        <v>244</v>
      </c>
      <c r="D75" s="188">
        <f>+C75</f>
        <v>244</v>
      </c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f>532-244-29</f>
        <v>259</v>
      </c>
      <c r="D76" s="188">
        <f>+C76</f>
        <v>259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1167</v>
      </c>
      <c r="D77" s="129">
        <f>D78+D80</f>
        <v>1167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578</v>
      </c>
      <c r="D78" s="188">
        <f>+C78</f>
        <v>578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>
        <v>589</v>
      </c>
      <c r="D80" s="188">
        <f>+C80</f>
        <v>589</v>
      </c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10096</v>
      </c>
      <c r="D87" s="125">
        <f>SUM(D88:D92)+D96</f>
        <v>10096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f>+'1-Баланс'!G64</f>
        <v>3755</v>
      </c>
      <c r="D89" s="188">
        <f>+C89</f>
        <v>3755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f>+'1-Баланс'!G65</f>
        <v>1822</v>
      </c>
      <c r="D90" s="188">
        <f>+C90</f>
        <v>1822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f>+'1-Баланс'!G66</f>
        <v>2923</v>
      </c>
      <c r="D91" s="188">
        <f>+C91</f>
        <v>2923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988</v>
      </c>
      <c r="D92" s="129">
        <f>SUM(D93:D95)</f>
        <v>988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61</v>
      </c>
      <c r="D93" s="188">
        <f>+C93</f>
        <v>61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/>
      <c r="D94" s="188">
        <f>+C94</f>
        <v>0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f>+'1-Баланс'!G68-'Справка 7'!C93</f>
        <v>927</v>
      </c>
      <c r="D95" s="188">
        <f>+C95</f>
        <v>927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f>+'1-Баланс'!G67</f>
        <v>608</v>
      </c>
      <c r="D96" s="188">
        <f>+C96</f>
        <v>608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f>+'1-Баланс'!G70+'1-Баланс'!G75</f>
        <v>1612</v>
      </c>
      <c r="D97" s="188">
        <f>+C97</f>
        <v>1612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13407</v>
      </c>
      <c r="D98" s="421">
        <f>D87+D82+D77+D73+D97</f>
        <v>13407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15894</v>
      </c>
      <c r="D99" s="415">
        <f>D98+D70+D68</f>
        <v>13407</v>
      </c>
      <c r="E99" s="415">
        <f>E98+E70+E68</f>
        <v>2487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77</v>
      </c>
      <c r="D106" s="271"/>
      <c r="E106" s="271"/>
      <c r="F106" s="411">
        <f>C106+D106-E106</f>
        <v>77</v>
      </c>
    </row>
    <row r="107" spans="1:6" ht="16.5" thickBot="1">
      <c r="A107" s="406" t="s">
        <v>752</v>
      </c>
      <c r="B107" s="412" t="s">
        <v>753</v>
      </c>
      <c r="C107" s="413">
        <f>SUM(C104:C106)</f>
        <v>77</v>
      </c>
      <c r="D107" s="413">
        <f>SUM(D104:D106)</f>
        <v>0</v>
      </c>
      <c r="E107" s="413">
        <f>SUM(E104:E106)</f>
        <v>0</v>
      </c>
      <c r="F107" s="414">
        <f>SUM(F104:F106)</f>
        <v>77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88" t="s">
        <v>817</v>
      </c>
      <c r="B109" s="688"/>
      <c r="C109" s="688"/>
      <c r="D109" s="688"/>
      <c r="E109" s="688"/>
      <c r="F109" s="688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4" t="s">
        <v>949</v>
      </c>
      <c r="B111" s="662">
        <f>pdeReportingDate</f>
        <v>45408</v>
      </c>
      <c r="C111" s="662"/>
      <c r="D111" s="662"/>
      <c r="E111" s="662"/>
      <c r="F111" s="662"/>
      <c r="G111" s="51"/>
      <c r="H111" s="51"/>
    </row>
    <row r="112" spans="1:8" ht="15.75">
      <c r="A112" s="654"/>
      <c r="B112" s="662"/>
      <c r="C112" s="662"/>
      <c r="D112" s="662"/>
      <c r="E112" s="662"/>
      <c r="F112" s="662"/>
      <c r="G112" s="51"/>
      <c r="H112" s="51"/>
    </row>
    <row r="113" spans="1:8" ht="15.75">
      <c r="A113" s="655" t="s">
        <v>8</v>
      </c>
      <c r="B113" s="663" t="str">
        <f>authorName</f>
        <v>Диана Петкова</v>
      </c>
      <c r="C113" s="663"/>
      <c r="D113" s="663"/>
      <c r="E113" s="663"/>
      <c r="F113" s="663"/>
      <c r="G113" s="75"/>
      <c r="H113" s="75"/>
    </row>
    <row r="114" spans="1:8" ht="15.75">
      <c r="A114" s="655"/>
      <c r="B114" s="663"/>
      <c r="C114" s="663"/>
      <c r="D114" s="663"/>
      <c r="E114" s="663"/>
      <c r="F114" s="663"/>
      <c r="G114" s="75"/>
      <c r="H114" s="75"/>
    </row>
    <row r="115" spans="1:8" ht="15.75">
      <c r="A115" s="655" t="s">
        <v>894</v>
      </c>
      <c r="B115" s="664"/>
      <c r="C115" s="664"/>
      <c r="D115" s="664"/>
      <c r="E115" s="664"/>
      <c r="F115" s="664"/>
      <c r="G115" s="77"/>
      <c r="H115" s="77"/>
    </row>
    <row r="116" spans="1:8" ht="15.75" customHeight="1">
      <c r="A116" s="656"/>
      <c r="B116" s="661" t="s">
        <v>951</v>
      </c>
      <c r="C116" s="661"/>
      <c r="D116" s="661"/>
      <c r="E116" s="661"/>
      <c r="F116" s="661"/>
      <c r="G116" s="656"/>
      <c r="H116" s="656"/>
    </row>
    <row r="117" spans="1:8" ht="15.75" customHeight="1">
      <c r="A117" s="656"/>
      <c r="B117" s="661" t="s">
        <v>951</v>
      </c>
      <c r="C117" s="661"/>
      <c r="D117" s="661"/>
      <c r="E117" s="661"/>
      <c r="F117" s="661"/>
      <c r="G117" s="656"/>
      <c r="H117" s="656"/>
    </row>
    <row r="118" spans="1:8" ht="15.75" customHeight="1">
      <c r="A118" s="656"/>
      <c r="B118" s="661" t="s">
        <v>951</v>
      </c>
      <c r="C118" s="661"/>
      <c r="D118" s="661"/>
      <c r="E118" s="661"/>
      <c r="F118" s="661"/>
      <c r="G118" s="656"/>
      <c r="H118" s="656"/>
    </row>
    <row r="119" spans="1:8" ht="15.75" customHeight="1">
      <c r="A119" s="656"/>
      <c r="B119" s="661" t="s">
        <v>951</v>
      </c>
      <c r="C119" s="661"/>
      <c r="D119" s="661"/>
      <c r="E119" s="661"/>
      <c r="F119" s="661"/>
      <c r="G119" s="656"/>
      <c r="H119" s="656"/>
    </row>
    <row r="120" spans="1:8" ht="15.75">
      <c r="A120" s="656"/>
      <c r="B120" s="661"/>
      <c r="C120" s="661"/>
      <c r="D120" s="661"/>
      <c r="E120" s="661"/>
      <c r="F120" s="661"/>
      <c r="G120" s="656"/>
      <c r="H120" s="656"/>
    </row>
    <row r="121" spans="1:8" ht="15.75">
      <c r="A121" s="656"/>
      <c r="B121" s="661"/>
      <c r="C121" s="661"/>
      <c r="D121" s="661"/>
      <c r="E121" s="661"/>
      <c r="F121" s="661"/>
      <c r="G121" s="656"/>
      <c r="H121" s="656"/>
    </row>
    <row r="122" spans="1:8" ht="15.75">
      <c r="A122" s="656"/>
      <c r="B122" s="661"/>
      <c r="C122" s="661"/>
      <c r="D122" s="661"/>
      <c r="E122" s="661"/>
      <c r="F122" s="661"/>
      <c r="G122" s="656"/>
      <c r="H122" s="65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10" sqref="M10:N1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1" t="s">
        <v>453</v>
      </c>
      <c r="B8" s="706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02"/>
      <c r="B10" s="707"/>
      <c r="C10" s="704"/>
      <c r="D10" s="704"/>
      <c r="E10" s="704"/>
      <c r="F10" s="704"/>
      <c r="G10" s="106" t="s">
        <v>516</v>
      </c>
      <c r="H10" s="106" t="s">
        <v>517</v>
      </c>
      <c r="I10" s="705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1813355</v>
      </c>
      <c r="D21" s="437"/>
      <c r="E21" s="437"/>
      <c r="F21" s="437">
        <f>+-'1-Баланс'!G15</f>
        <v>1799</v>
      </c>
      <c r="G21" s="437"/>
      <c r="H21" s="437"/>
      <c r="I21" s="438">
        <f t="shared" si="0"/>
        <v>1799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1813355</v>
      </c>
      <c r="D27" s="444">
        <f t="shared" si="2"/>
        <v>0</v>
      </c>
      <c r="E27" s="444">
        <f t="shared" si="2"/>
        <v>0</v>
      </c>
      <c r="F27" s="444">
        <f t="shared" si="2"/>
        <v>1799</v>
      </c>
      <c r="G27" s="444">
        <f t="shared" si="2"/>
        <v>0</v>
      </c>
      <c r="H27" s="444">
        <f t="shared" si="2"/>
        <v>0</v>
      </c>
      <c r="I27" s="445">
        <f t="shared" si="0"/>
        <v>1799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3" t="s">
        <v>819</v>
      </c>
      <c r="B29" s="703"/>
      <c r="C29" s="703"/>
      <c r="D29" s="703"/>
      <c r="E29" s="703"/>
      <c r="F29" s="703"/>
      <c r="G29" s="703"/>
      <c r="H29" s="703"/>
      <c r="I29" s="703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4" t="s">
        <v>949</v>
      </c>
      <c r="B31" s="662">
        <f>pdeReportingDate</f>
        <v>45408</v>
      </c>
      <c r="C31" s="662"/>
      <c r="D31" s="662"/>
      <c r="E31" s="662"/>
      <c r="F31" s="662"/>
      <c r="G31" s="115"/>
      <c r="H31" s="115"/>
      <c r="I31" s="115"/>
    </row>
    <row r="32" spans="1:9" s="107" customFormat="1" ht="15.75">
      <c r="A32" s="654"/>
      <c r="B32" s="662"/>
      <c r="C32" s="662"/>
      <c r="D32" s="662"/>
      <c r="E32" s="662"/>
      <c r="F32" s="662"/>
      <c r="G32" s="115"/>
      <c r="H32" s="115"/>
      <c r="I32" s="115"/>
    </row>
    <row r="33" spans="1:9" s="107" customFormat="1" ht="15.75">
      <c r="A33" s="655" t="s">
        <v>8</v>
      </c>
      <c r="B33" s="663" t="str">
        <f>authorName</f>
        <v>Диана Петкова</v>
      </c>
      <c r="C33" s="663"/>
      <c r="D33" s="663"/>
      <c r="E33" s="663"/>
      <c r="F33" s="663"/>
      <c r="G33" s="115"/>
      <c r="H33" s="115"/>
      <c r="I33" s="115"/>
    </row>
    <row r="34" spans="1:9" s="107" customFormat="1" ht="15.75">
      <c r="A34" s="655"/>
      <c r="B34" s="699"/>
      <c r="C34" s="699"/>
      <c r="D34" s="699"/>
      <c r="E34" s="699"/>
      <c r="F34" s="699"/>
      <c r="G34" s="699"/>
      <c r="H34" s="699"/>
      <c r="I34" s="699"/>
    </row>
    <row r="35" spans="1:9" s="107" customFormat="1" ht="15.75">
      <c r="A35" s="655" t="s">
        <v>894</v>
      </c>
      <c r="B35" s="700"/>
      <c r="C35" s="700"/>
      <c r="D35" s="700"/>
      <c r="E35" s="700"/>
      <c r="F35" s="700"/>
      <c r="G35" s="700"/>
      <c r="H35" s="700"/>
      <c r="I35" s="700"/>
    </row>
    <row r="36" spans="1:9" s="107" customFormat="1" ht="15.75" customHeight="1">
      <c r="A36" s="656"/>
      <c r="B36" s="661" t="s">
        <v>951</v>
      </c>
      <c r="C36" s="661"/>
      <c r="D36" s="661"/>
      <c r="E36" s="661"/>
      <c r="F36" s="661"/>
      <c r="G36" s="661"/>
      <c r="H36" s="661"/>
      <c r="I36" s="661"/>
    </row>
    <row r="37" spans="1:9" s="107" customFormat="1" ht="15.75" customHeight="1">
      <c r="A37" s="656"/>
      <c r="B37" s="661" t="s">
        <v>951</v>
      </c>
      <c r="C37" s="661"/>
      <c r="D37" s="661"/>
      <c r="E37" s="661"/>
      <c r="F37" s="661"/>
      <c r="G37" s="661"/>
      <c r="H37" s="661"/>
      <c r="I37" s="661"/>
    </row>
    <row r="38" spans="1:9" s="107" customFormat="1" ht="15.75" customHeight="1">
      <c r="A38" s="656"/>
      <c r="B38" s="661" t="s">
        <v>951</v>
      </c>
      <c r="C38" s="661"/>
      <c r="D38" s="661"/>
      <c r="E38" s="661"/>
      <c r="F38" s="661"/>
      <c r="G38" s="661"/>
      <c r="H38" s="661"/>
      <c r="I38" s="661"/>
    </row>
    <row r="39" spans="1:9" s="107" customFormat="1" ht="15.75" customHeight="1">
      <c r="A39" s="656"/>
      <c r="B39" s="661" t="s">
        <v>951</v>
      </c>
      <c r="C39" s="661"/>
      <c r="D39" s="661"/>
      <c r="E39" s="661"/>
      <c r="F39" s="661"/>
      <c r="G39" s="661"/>
      <c r="H39" s="661"/>
      <c r="I39" s="661"/>
    </row>
    <row r="40" spans="1:9" s="107" customFormat="1" ht="15.75">
      <c r="A40" s="656"/>
      <c r="B40" s="661"/>
      <c r="C40" s="661"/>
      <c r="D40" s="661"/>
      <c r="E40" s="661"/>
      <c r="F40" s="661"/>
      <c r="G40" s="661"/>
      <c r="H40" s="661"/>
      <c r="I40" s="661"/>
    </row>
    <row r="41" spans="1:9" s="107" customFormat="1" ht="15.75">
      <c r="A41" s="656"/>
      <c r="B41" s="661"/>
      <c r="C41" s="661"/>
      <c r="D41" s="661"/>
      <c r="E41" s="661"/>
      <c r="F41" s="661"/>
      <c r="G41" s="661"/>
      <c r="H41" s="661"/>
      <c r="I41" s="661"/>
    </row>
    <row r="42" spans="1:9" s="107" customFormat="1" ht="15.75">
      <c r="A42" s="656"/>
      <c r="B42" s="661"/>
      <c r="C42" s="661"/>
      <c r="D42" s="661"/>
      <c r="E42" s="661"/>
      <c r="F42" s="661"/>
      <c r="G42" s="661"/>
      <c r="H42" s="661"/>
      <c r="I42" s="66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01.01.2023 г. до 31.12.2023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7" t="s">
        <v>912</v>
      </c>
      <c r="D5" s="638" t="s">
        <v>914</v>
      </c>
      <c r="E5" s="637" t="s">
        <v>913</v>
      </c>
      <c r="F5" s="636" t="s">
        <v>911</v>
      </c>
      <c r="G5" s="635" t="s">
        <v>909</v>
      </c>
    </row>
    <row r="6" spans="1:7" ht="18.75" customHeight="1">
      <c r="A6" s="641" t="s">
        <v>956</v>
      </c>
      <c r="B6" s="632" t="s">
        <v>919</v>
      </c>
      <c r="C6" s="639">
        <f>'1-Баланс'!C95</f>
        <v>95520</v>
      </c>
      <c r="D6" s="640">
        <f aca="true" t="shared" si="0" ref="D6:D15">C6-E6</f>
        <v>0</v>
      </c>
      <c r="E6" s="639">
        <f>'1-Баланс'!G95</f>
        <v>95520</v>
      </c>
      <c r="F6" s="633" t="s">
        <v>920</v>
      </c>
      <c r="G6" s="641" t="s">
        <v>956</v>
      </c>
    </row>
    <row r="7" spans="1:7" ht="18.75" customHeight="1">
      <c r="A7" s="641" t="s">
        <v>956</v>
      </c>
      <c r="B7" s="632" t="s">
        <v>918</v>
      </c>
      <c r="C7" s="639">
        <f>'1-Баланс'!G37</f>
        <v>75500</v>
      </c>
      <c r="D7" s="640">
        <f t="shared" si="0"/>
        <v>17938</v>
      </c>
      <c r="E7" s="639">
        <f>'1-Баланс'!G18</f>
        <v>57562</v>
      </c>
      <c r="F7" s="633" t="s">
        <v>455</v>
      </c>
      <c r="G7" s="641" t="s">
        <v>956</v>
      </c>
    </row>
    <row r="8" spans="1:7" ht="18.75" customHeight="1">
      <c r="A8" s="641" t="s">
        <v>956</v>
      </c>
      <c r="B8" s="632" t="s">
        <v>916</v>
      </c>
      <c r="C8" s="639">
        <f>ABS('1-Баланс'!G32)-ABS('1-Баланс'!G33)</f>
        <v>-1845</v>
      </c>
      <c r="D8" s="640">
        <f t="shared" si="0"/>
        <v>0</v>
      </c>
      <c r="E8" s="639">
        <f>ABS('2-Отчет за доходите'!C44)-ABS('2-Отчет за доходите'!G44)</f>
        <v>-1845</v>
      </c>
      <c r="F8" s="633" t="s">
        <v>917</v>
      </c>
      <c r="G8" s="642" t="s">
        <v>958</v>
      </c>
    </row>
    <row r="9" spans="1:7" ht="18.75" customHeight="1">
      <c r="A9" s="641" t="s">
        <v>956</v>
      </c>
      <c r="B9" s="632" t="s">
        <v>922</v>
      </c>
      <c r="C9" s="639">
        <f>'1-Баланс'!D92</f>
        <v>21146</v>
      </c>
      <c r="D9" s="640">
        <f t="shared" si="0"/>
        <v>0</v>
      </c>
      <c r="E9" s="639">
        <f>'3-Отчет за паричния поток'!C45</f>
        <v>21146</v>
      </c>
      <c r="F9" s="633" t="s">
        <v>921</v>
      </c>
      <c r="G9" s="642" t="s">
        <v>957</v>
      </c>
    </row>
    <row r="10" spans="1:7" ht="18.75" customHeight="1">
      <c r="A10" s="641" t="s">
        <v>956</v>
      </c>
      <c r="B10" s="632" t="s">
        <v>923</v>
      </c>
      <c r="C10" s="639">
        <f>'1-Баланс'!C92</f>
        <v>14694</v>
      </c>
      <c r="D10" s="640">
        <f t="shared" si="0"/>
        <v>0</v>
      </c>
      <c r="E10" s="639">
        <f>'3-Отчет за паричния поток'!C46</f>
        <v>14694</v>
      </c>
      <c r="F10" s="633" t="s">
        <v>924</v>
      </c>
      <c r="G10" s="642" t="s">
        <v>957</v>
      </c>
    </row>
    <row r="11" spans="1:7" ht="18.75" customHeight="1">
      <c r="A11" s="641" t="s">
        <v>956</v>
      </c>
      <c r="B11" s="632" t="s">
        <v>918</v>
      </c>
      <c r="C11" s="639">
        <f>'1-Баланс'!G37</f>
        <v>75500</v>
      </c>
      <c r="D11" s="640">
        <f t="shared" si="0"/>
        <v>0</v>
      </c>
      <c r="E11" s="639">
        <f>'4-Отчет за собствения капитал'!L34</f>
        <v>75500</v>
      </c>
      <c r="F11" s="633" t="s">
        <v>925</v>
      </c>
      <c r="G11" s="642" t="s">
        <v>959</v>
      </c>
    </row>
    <row r="12" spans="1:7" ht="18.75" customHeight="1">
      <c r="A12" s="641" t="s">
        <v>956</v>
      </c>
      <c r="B12" s="632" t="s">
        <v>926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3" t="s">
        <v>930</v>
      </c>
      <c r="G12" s="642" t="s">
        <v>960</v>
      </c>
    </row>
    <row r="13" spans="1:7" ht="18.75" customHeight="1">
      <c r="A13" s="641" t="s">
        <v>956</v>
      </c>
      <c r="B13" s="632" t="s">
        <v>927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3" t="s">
        <v>931</v>
      </c>
      <c r="G13" s="642" t="s">
        <v>960</v>
      </c>
    </row>
    <row r="14" spans="1:7" ht="18.75" customHeight="1">
      <c r="A14" s="641" t="s">
        <v>956</v>
      </c>
      <c r="B14" s="632" t="s">
        <v>928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3" t="s">
        <v>932</v>
      </c>
      <c r="G14" s="642" t="s">
        <v>960</v>
      </c>
    </row>
    <row r="15" spans="1:7" ht="18.75" customHeight="1">
      <c r="A15" s="641" t="s">
        <v>956</v>
      </c>
      <c r="B15" s="632" t="s">
        <v>929</v>
      </c>
      <c r="C15" s="639">
        <f>'1-Баланс'!C39</f>
        <v>0</v>
      </c>
      <c r="D15" s="640" t="e">
        <f t="shared" si="0"/>
        <v>#REF!</v>
      </c>
      <c r="E15" s="639" t="e">
        <f>#REF!+#REF!</f>
        <v>#REF!</v>
      </c>
      <c r="F15" s="633" t="s">
        <v>933</v>
      </c>
      <c r="G15" s="642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Petkova</cp:lastModifiedBy>
  <cp:lastPrinted>2016-09-14T10:20:26Z</cp:lastPrinted>
  <dcterms:created xsi:type="dcterms:W3CDTF">2006-09-16T00:00:00Z</dcterms:created>
  <dcterms:modified xsi:type="dcterms:W3CDTF">2024-04-26T14:30:16Z</dcterms:modified>
  <cp:category/>
  <cp:version/>
  <cp:contentType/>
  <cp:contentStatus/>
</cp:coreProperties>
</file>