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<sst xmlns="http://schemas.openxmlformats.org/spreadsheetml/2006/main" count="1061" uniqueCount="869">
  <si>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</si>
  <si>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</si>
  <si>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</si>
  <si>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</si>
  <si>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</si>
  <si>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</si>
  <si>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</si>
  <si>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</si>
  <si>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</si>
  <si>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</si>
  <si>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</si>
  <si>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</si>
  <si>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</si>
  <si>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</si>
  <si>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</si>
  <si>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</si>
  <si>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</si>
  <si>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</si>
  <si>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</si>
  <si>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</si>
  <si>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</si>
  <si>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</si>
  <si>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</si>
  <si>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</si>
  <si>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</si>
  <si>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</si>
  <si>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</si>
  <si>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</si>
  <si>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</si>
  <si>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</si>
  <si>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</si>
  <si>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</si>
  <si>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</si>
  <si>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</si>
  <si>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</si>
  <si>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</si>
  <si>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</si>
  <si>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</si>
  <si>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</si>
  <si>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</si>
  <si>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</si>
  <si>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</si>
  <si>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</si>
  <si>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</si>
  <si>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</si>
  <si>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</si>
  <si>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</si>
  <si>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</si>
  <si>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</si>
  <si>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</si>
  <si>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</si>
  <si>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</si>
  <si>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</si>
  <si>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</si>
  <si>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</si>
  <si>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</si>
  <si>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</si>
  <si>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</si>
  <si>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</si>
  <si>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</si>
  <si>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</si>
  <si>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</si>
  <si>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</si>
  <si>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</si>
  <si>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</si>
  <si>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</si>
  <si>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</si>
  <si>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</si>
  <si>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</si>
  <si>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</si>
  <si>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</si>
  <si>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</si>
  <si>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</si>
  <si>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</si>
  <si>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</si>
  <si>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</si>
  <si>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</si>
  <si>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</si>
  <si>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</si>
  <si>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</si>
  <si>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</si>
  <si>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</si>
  <si>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</si>
  <si>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</si>
  <si>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</si>
  <si>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</si>
  <si>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</si>
  <si>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</si>
  <si>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</si>
  <si>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</si>
  <si>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</si>
  <si>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</si>
  <si>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</si>
  <si>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</si>
  <si>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</si>
  <si>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</si>
  <si>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</si>
  <si>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</si>
  <si>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</si>
  <si>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</si>
  <si>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</si>
  <si>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</si>
  <si>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</si>
  <si>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</si>
  <si>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</si>
  <si>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</si>
  <si>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</si>
  <si>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</si>
  <si>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</si>
  <si>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</si>
  <si>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</si>
  <si>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</si>
  <si>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</si>
  <si>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</si>
  <si>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</si>
  <si>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</si>
  <si>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</si>
  <si>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</si>
  <si>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</si>
  <si>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</si>
  <si>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</si>
  <si>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</si>
  <si>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</si>
  <si>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</si>
  <si>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</si>
  <si>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</si>
  <si>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</si>
  <si>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</si>
  <si>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</si>
  <si>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</si>
  <si>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</si>
  <si>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</si>
  <si>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</si>
  <si>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</si>
  <si>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</si>
  <si>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</si>
  <si>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</si>
  <si>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</si>
  <si>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</si>
  <si>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</si>
  <si>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</si>
  <si>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</si>
  <si>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</si>
  <si>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</si>
  <si>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</si>
  <si>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</si>
  <si>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</si>
  <si>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</si>
  <si>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</si>
  <si>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</si>
  <si>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</si>
  <si>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</si>
  <si>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</si>
  <si>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</si>
  <si>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</si>
  <si>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</si>
  <si>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</si>
  <si>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</si>
  <si>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</si>
  <si>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</si>
  <si>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</si>
  <si>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</si>
  <si>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</si>
  <si>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</si>
  <si>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</si>
  <si>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</si>
  <si>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</si>
  <si>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</si>
  <si>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</si>
  <si>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</si>
  <si>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</si>
  <si>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</si>
  <si>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</si>
  <si>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</si>
  <si>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</si>
  <si>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</si>
  <si>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</si>
  <si>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</si>
  <si>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</si>
  <si>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</si>
  <si>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</si>
  <si>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</si>
  <si>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</si>
  <si>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</si>
  <si>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</si>
  <si>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</si>
  <si>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</si>
  <si>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</si>
  <si>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</si>
  <si>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</si>
  <si>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</si>
  <si>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</si>
  <si>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</si>
  <si>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</si>
  <si>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</si>
  <si>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</si>
  <si>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</si>
  <si>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</si>
  <si>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</si>
  <si>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</si>
  <si>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</si>
  <si>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</si>
  <si>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</si>
  <si>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</si>
  <si>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</si>
  <si>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</si>
  <si>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</si>
  <si>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</si>
  <si>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</si>
  <si>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</si>
  <si>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</si>
  <si>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</si>
  <si>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</si>
  <si>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</si>
  <si>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</si>
  <si>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</si>
  <si>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</si>
  <si>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</si>
  <si>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</si>
  <si>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</si>
  <si>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</si>
  <si>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</si>
  <si>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</si>
  <si>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</si>
  <si>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</si>
  <si>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</si>
  <si>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</si>
  <si>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</si>
  <si>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</si>
  <si>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</si>
  <si>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</si>
  <si>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</si>
  <si>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</si>
  <si>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</si>
  <si>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</si>
  <si>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</si>
  <si>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</si>
  <si>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</si>
  <si>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</si>
  <si>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</si>
  <si>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</si>
  <si>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</si>
  <si>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</si>
  <si>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</si>
  <si>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</si>
  <si>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</si>
  <si>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</si>
  <si>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</si>
  <si>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</si>
  <si>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</si>
  <si>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</si>
  <si>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</si>
  <si>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</si>
  <si>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</si>
  <si>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</si>
  <si>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</si>
  <si>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</si>
  <si>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</si>
  <si>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</si>
  <si>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</si>
  <si>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</si>
  <si>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</si>
  <si>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</si>
  <si>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</si>
  <si>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</si>
  <si>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</si>
  <si>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</si>
  <si>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</si>
  <si>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</si>
  <si>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</si>
  <si>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</si>
  <si>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</si>
  <si>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</si>
  <si>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</si>
  <si>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</si>
  <si>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</si>
  <si>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</si>
  <si>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</si>
  <si>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</si>
  <si>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</si>
  <si>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</si>
  <si>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</si>
  <si>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</si>
  <si>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</si>
  <si>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</si>
  <si>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</si>
  <si>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</si>
  <si>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</si>
  <si>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</si>
  <si>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</si>
  <si>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</si>
  <si>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</si>
  <si>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</si>
  <si>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</si>
  <si>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</si>
  <si>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</si>
  <si>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</si>
  <si>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</si>
  <si>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</si>
  <si>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</si>
  <si>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</si>
  <si>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</si>
  <si>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</si>
  <si>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</si>
  <si>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</si>
  <si>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</si>
  <si>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</si>
  <si>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</si>
  <si>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</si>
  <si>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</si>
  <si>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</si>
  <si>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</si>
  <si>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</si>
  <si>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</si>
  <si>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</si>
  <si>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</si>
  <si>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</si>
  <si>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</si>
  <si>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</si>
  <si>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</si>
  <si>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</si>
  <si>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</si>
  <si>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</si>
  <si>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</si>
  <si>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</si>
  <si>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</si>
  <si>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</si>
  <si>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</si>
  <si>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</si>
  <si>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</si>
  <si>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</si>
  <si>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</si>
  <si>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</si>
  <si>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</si>
  <si>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</si>
  <si>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</si>
  <si>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</si>
  <si>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</si>
  <si>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</si>
  <si>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</si>
  <si>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</si>
  <si>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</si>
  <si>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</si>
  <si>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</si>
  <si>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</si>
  <si>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</si>
  <si>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</si>
  <si>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</si>
  <si>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</si>
  <si>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</si>
  <si>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</si>
  <si>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</si>
  <si>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</si>
  <si>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</si>
  <si>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</si>
  <si>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</si>
  <si>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</si>
  <si>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</si>
  <si>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</si>
  <si>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</si>
  <si>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</si>
  <si>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</si>
  <si>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</si>
  <si>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</si>
  <si>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</si>
  <si>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</si>
  <si>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</si>
  <si>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</si>
  <si>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</si>
  <si>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</si>
  <si>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</si>
  <si>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</si>
  <si>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</si>
  <si>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</si>
  <si>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</si>
  <si>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</si>
  <si>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</si>
  <si>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</si>
  <si>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</si>
  <si>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</si>
  <si>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</si>
  <si>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</si>
  <si>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</si>
  <si>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</si>
  <si>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</si>
  <si>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</si>
  <si>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</si>
  <si>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</si>
  <si>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</si>
  <si>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</si>
  <si>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</si>
  <si>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</si>
  <si>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</si>
  <si>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</si>
  <si>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</si>
  <si>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</si>
  <si>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</si>
  <si>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</si>
  <si>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</si>
  <si>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</si>
  <si>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</si>
  <si>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</si>
  <si>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</si>
  <si>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</si>
  <si>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</si>
  <si>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</si>
  <si>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</si>
  <si>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</si>
  <si>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</si>
  <si>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</si>
  <si>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</si>
  <si>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</si>
  <si>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</si>
  <si>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</si>
  <si>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</si>
  <si>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</si>
  <si>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</si>
  <si>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</si>
  <si>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</si>
  <si>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</si>
  <si>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</si>
  <si>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</si>
  <si>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</si>
  <si>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</si>
  <si>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</si>
  <si>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</si>
  <si>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</si>
  <si>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</si>
  <si>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</si>
  <si>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</si>
  <si>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</si>
  <si>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</si>
  <si>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</si>
  <si>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</si>
  <si>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</si>
  <si>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</si>
  <si>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</si>
  <si>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</si>
  <si>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</si>
  <si>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</si>
  <si>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</si>
  <si>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</si>
  <si>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</si>
  <si>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</si>
  <si>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</si>
  <si>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</si>
  <si>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</si>
  <si>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</si>
  <si>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</si>
  <si>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</si>
  <si>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</si>
  <si>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</si>
  <si>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</si>
  <si>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</si>
  <si>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</si>
  <si>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</si>
  <si>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</si>
  <si>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</si>
  <si>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</si>
  <si>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</si>
  <si>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</si>
  <si>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</si>
  <si>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</si>
  <si>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</si>
  <si>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</si>
  <si>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</si>
  <si>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</si>
  <si>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</si>
  <si>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</si>
  <si>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</si>
  <si>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</si>
  <si>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</si>
  <si>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</si>
  <si>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</si>
  <si>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</si>
  <si>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</si>
  <si>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</si>
  <si>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</si>
  <si>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</si>
  <si>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</si>
  <si>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</si>
  <si>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</si>
  <si>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</si>
  <si>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</si>
  <si>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</si>
  <si>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</si>
  <si>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</si>
  <si>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</si>
  <si>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</si>
  <si>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</si>
  <si>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</si>
  <si>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</si>
  <si>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</si>
  <si>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</si>
  <si>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</si>
  <si>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</si>
  <si>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</si>
  <si>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</si>
  <si>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</si>
  <si>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</si>
  <si>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</si>
  <si>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</si>
  <si>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</si>
  <si>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</si>
  <si>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</si>
  <si>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</si>
  <si>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</si>
  <si>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</si>
  <si>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</si>
  <si>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</si>
  <si>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</si>
  <si>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</si>
  <si>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</si>
  <si>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</si>
  <si>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</si>
  <si>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</si>
  <si>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</si>
  <si>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</si>
  <si>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</si>
  <si>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</si>
  <si>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</si>
  <si>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</si>
  <si>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</si>
  <si>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</si>
  <si>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</si>
  <si>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</si>
  <si>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</si>
  <si>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</si>
  <si>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</si>
  <si>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</si>
  <si>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</si>
  <si>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</si>
  <si>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</si>
  <si>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</si>
  <si>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</si>
  <si>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</si>
  <si>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</si>
  <si>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</si>
  <si>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</si>
  <si>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</si>
  <si>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</si>
  <si>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</si>
  <si>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</si>
  <si>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</si>
  <si>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</si>
  <si>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</si>
  <si>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</si>
  <si>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</si>
  <si>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</si>
  <si>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</si>
  <si>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</si>
  <si>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</si>
  <si>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</si>
  <si>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</si>
  <si>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</si>
  <si>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</si>
  <si>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</si>
  <si>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</si>
  <si>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</si>
  <si>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</si>
  <si>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</si>
  <si>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</si>
  <si>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</si>
  <si>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</si>
  <si>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</si>
  <si>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</si>
  <si>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</si>
  <si>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</si>
  <si>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</si>
  <si>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</si>
  <si>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</si>
  <si>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</si>
  <si>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</si>
  <si>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</si>
  <si>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</si>
  <si>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</si>
  <si>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</si>
  <si>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</si>
  <si>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</si>
  <si>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</si>
  <si>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</si>
  <si>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</si>
  <si>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</si>
  <si>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</si>
  <si>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</si>
  <si>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</si>
  <si>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</si>
  <si>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</si>
  <si>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</si>
  <si>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</si>
  <si>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</si>
  <si>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</si>
  <si>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</si>
  <si>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</si>
  <si>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</si>
  <si>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</si>
  <si>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</si>
  <si>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</si>
  <si>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</si>
  <si>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</si>
  <si>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</si>
  <si>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</si>
  <si>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</si>
  <si>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</si>
  <si>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</si>
  <si>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</si>
  <si>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</si>
  <si>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</si>
  <si>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</si>
  <si>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</si>
  <si>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</si>
  <si>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</si>
  <si>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</si>
  <si>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</si>
  <si>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</si>
  <si>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</si>
  <si>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</si>
  <si>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</si>
  <si>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</si>
  <si>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</si>
  <si>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</si>
  <si>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</si>
  <si>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</si>
  <si>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</si>
  <si>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</si>
  <si>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</si>
  <si>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</si>
  <si>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</si>
  <si>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</si>
  <si>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</si>
  <si>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</si>
  <si>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</si>
  <si>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</si>
  <si>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</si>
  <si>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</si>
  <si>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</si>
  <si>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</si>
  <si>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</si>
  <si>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</si>
  <si>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</si>
  <si>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</si>
  <si>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</si>
  <si>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</si>
  <si>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</si>
  <si>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</si>
  <si>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</si>
  <si>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</si>
  <si>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</si>
  <si>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</si>
  <si>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</si>
  <si>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</si>
  <si>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</si>
  <si>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</si>
  <si>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</si>
  <si>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</si>
  <si>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</si>
  <si>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</si>
  <si>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</si>
  <si>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</si>
  <si>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</si>
  <si>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</si>
  <si>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</si>
  <si>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</si>
  <si>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</si>
  <si>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</si>
  <si>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</si>
  <si>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</si>
  <si>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</si>
  <si>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</si>
  <si>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</si>
  <si>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</si>
  <si>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</si>
  <si>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</si>
  <si>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</si>
  <si>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</si>
  <si>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</si>
  <si>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</si>
  <si>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</si>
  <si>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</si>
  <si>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</si>
  <si>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</si>
  <si>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</si>
  <si>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</si>
  <si>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</si>
  <si>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</si>
  <si>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</si>
  <si>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</si>
  <si>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</si>
  <si>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</si>
  <si>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</si>
  <si>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</si>
  <si>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</si>
  <si>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</si>
  <si>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</si>
  <si>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</si>
  <si>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</si>
  <si>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</si>
  <si>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</si>
  <si>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</si>
  <si>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</si>
  <si>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</si>
  <si>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</si>
  <si>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</si>
  <si>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</si>
  <si>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</si>
  <si>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</si>
  <si>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</si>
  <si>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</si>
  <si>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</si>
  <si>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</si>
  <si>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</si>
  <si>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</si>
  <si>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</si>
  <si>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</si>
  <si>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</si>
  <si>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</si>
  <si>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</si>
  <si>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</si>
  <si>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</si>
  <si>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</si>
  <si>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</si>
  <si>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</si>
  <si>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</si>
  <si>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</si>
  <si>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</si>
  <si>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</si>
  <si>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</si>
  <si>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</si>
  <si>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</si>
  <si>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</si>
  <si>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</si>
  <si>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</si>
  <si>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</si>
  <si>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</si>
  <si>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</si>
  <si>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</si>
  <si>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</si>
  <si>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</si>
  <si>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</si>
  <si>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</si>
  <si>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</si>
  <si>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</si>
  <si>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</si>
  <si>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</si>
  <si>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</si>
  <si>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</si>
  <si>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</si>
  <si>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</si>
  <si>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</si>
  <si>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</si>
  <si>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</si>
  <si>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</si>
  <si>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</si>
  <si>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</si>
  <si>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</si>
  <si>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</si>
  <si>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</si>
  <si>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</si>
  <si>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</si>
  <si>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</si>
  <si>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</si>
  <si>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</si>
  <si>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</si>
  <si>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</si>
  <si>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</si>
  <si>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</si>
  <si>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</si>
  <si>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</si>
  <si>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</si>
  <si>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</si>
  <si>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</si>
  <si>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</si>
  <si>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</si>
  <si>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</si>
  <si>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</si>
  <si>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</si>
  <si>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</si>
  <si>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</si>
  <si>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</si>
  <si>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</si>
  <si>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</si>
  <si>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</si>
  <si>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</si>
  <si>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</si>
  <si>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</si>
  <si>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</si>
  <si>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</si>
  <si>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</si>
  <si>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</si>
  <si>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</si>
  <si>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</si>
  <si>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</si>
  <si>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</si>
  <si>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</si>
  <si>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</si>
  <si>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</si>
  <si>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</si>
  <si>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</si>
  <si>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</si>
  <si>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</si>
  <si>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</si>
  <si>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</si>
  <si>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</si>
  <si>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</si>
  <si>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</si>
  <si>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</si>
  <si>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</si>
  <si>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</si>
  <si>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</si>
  <si>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</si>
  <si>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</si>
  <si>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</si>
  <si>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</si>
  <si>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</si>
  <si>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</si>
  <si>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</si>
  <si>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</si>
  <si>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</si>
  <si>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</si>
  <si>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</si>
  <si>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</si>
  <si>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</si>
  <si>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</si>
  <si>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</si>
  <si>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</si>
  <si>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</si>
  <si>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</si>
  <si>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</si>
  <si>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</si>
  <si>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</si>
  <si>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</si>
  <si>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</si>
  <si>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</si>
  <si>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</si>
  <si>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</si>
  <si>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</si>
  <si>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</si>
  <si>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</si>
  <si>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</si>
  <si>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</si>
  <si>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</si>
  <si>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</si>
  <si>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</si>
  <si>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</si>
  <si>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</si>
  <si>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</si>
  <si>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</si>
  <si>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</si>
  <si>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</si>
  <si>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</si>
  <si>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</si>
  <si>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</si>
  <si>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</si>
  <si>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</si>
  <si>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</si>
  <si>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</si>
  <si>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</si>
  <si>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</si>
  <si>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</si>
  <si>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</si>
  <si>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</si>
  <si>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</si>
  <si>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</si>
  <si>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</si>
  <si>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</si>
  <si>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"КОРАДО-БЪЛГАРИЯ" ГР.СТРАЖИЦА</t>
  </si>
  <si>
    <t>Дата на съставяне:27,07,2018</t>
  </si>
  <si>
    <t>Дата на съставяне:25.10.2018</t>
  </si>
  <si>
    <t xml:space="preserve">Дата  на съставяне:25.10.2018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</si>
</sst>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9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</cellStyleXfs>
  <cellXfs count="633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" fontId="23" fillId="34" borderId="10" xfId="43" applyNumberFormat="1" applyFont="1" applyFill="1" applyBorder="1" applyProtection="1">
      <alignment/>
      <protection locked="0"/>
    </xf>
    <xf numFmtId="3" fontId="12" fillId="0" borderId="11" xfId="44" applyNumberFormat="1" applyFont="1" applyBorder="1" applyAlignment="1" applyProtection="1">
      <alignment vertical="center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6" fontId="11" fillId="0" borderId="0" xfId="39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34">
      <selection activeCell="E13" sqref="E1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814190902</v>
      </c>
    </row>
    <row r="4" spans="1:8" ht="15">
      <c r="A4" s="578" t="s">
        <v>3</v>
      </c>
      <c r="B4" s="584"/>
      <c r="C4" s="584"/>
      <c r="D4" s="584"/>
      <c r="E4" s="504" t="s">
        <v>159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>
        <v>43373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407</v>
      </c>
      <c r="D11" s="151">
        <v>407</v>
      </c>
      <c r="E11" s="237" t="s">
        <v>22</v>
      </c>
      <c r="F11" s="242" t="s">
        <v>23</v>
      </c>
      <c r="G11" s="153">
        <v>13169</v>
      </c>
      <c r="H11" s="153">
        <v>13169</v>
      </c>
    </row>
    <row r="12" spans="1:8" ht="15">
      <c r="A12" s="235" t="s">
        <v>24</v>
      </c>
      <c r="B12" s="241" t="s">
        <v>25</v>
      </c>
      <c r="C12" s="151">
        <v>2156</v>
      </c>
      <c r="D12" s="151">
        <v>2091</v>
      </c>
      <c r="E12" s="237" t="s">
        <v>26</v>
      </c>
      <c r="F12" s="242" t="s">
        <v>27</v>
      </c>
      <c r="G12" s="153">
        <v>13169</v>
      </c>
      <c r="H12" s="153">
        <v>13169</v>
      </c>
    </row>
    <row r="13" spans="1:8" ht="15">
      <c r="A13" s="235" t="s">
        <v>28</v>
      </c>
      <c r="B13" s="241" t="s">
        <v>29</v>
      </c>
      <c r="C13" s="151">
        <v>11191</v>
      </c>
      <c r="D13" s="151">
        <v>11649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50</v>
      </c>
      <c r="D14" s="151">
        <v>45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567</v>
      </c>
      <c r="D15" s="151">
        <v>457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39</v>
      </c>
      <c r="D16" s="151">
        <v>44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318</v>
      </c>
      <c r="D17" s="151">
        <v>363</v>
      </c>
      <c r="E17" s="243" t="s">
        <v>46</v>
      </c>
      <c r="F17" s="245" t="s">
        <v>47</v>
      </c>
      <c r="G17" s="154">
        <f>G11+G14+G15+G16</f>
        <v>13169</v>
      </c>
      <c r="H17" s="154">
        <f>H11+H14+H15+H16</f>
        <v>13169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194</v>
      </c>
      <c r="D18" s="151">
        <v>201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14922</v>
      </c>
      <c r="D19" s="155">
        <f>SUM(D11:D18)</f>
        <v>15257</v>
      </c>
      <c r="E19" s="237" t="s">
        <v>53</v>
      </c>
      <c r="F19" s="242" t="s">
        <v>54</v>
      </c>
      <c r="G19" s="152">
        <v>119</v>
      </c>
      <c r="H19" s="152">
        <v>119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</v>
      </c>
      <c r="H20" s="158">
        <v>20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1317</v>
      </c>
      <c r="H21" s="156">
        <f>SUM(H22:H24)</f>
        <v>878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1317</v>
      </c>
      <c r="H22" s="152">
        <v>878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1456</v>
      </c>
      <c r="H25" s="154">
        <f>H19+H20+H21</f>
        <v>1017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1967</v>
      </c>
      <c r="H27" s="154">
        <f>SUM(H28:H30)</f>
        <v>1052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2280</v>
      </c>
      <c r="H28" s="152">
        <v>1365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-313</v>
      </c>
      <c r="H29" s="316">
        <v>-313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5509</v>
      </c>
      <c r="H31" s="152">
        <v>4778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7476</v>
      </c>
      <c r="H33" s="154">
        <f>H27+H31+H32</f>
        <v>5830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22101</v>
      </c>
      <c r="H36" s="154">
        <f>H25+H17+H33</f>
        <v>20016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40</v>
      </c>
      <c r="D44" s="151">
        <v>40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40</v>
      </c>
      <c r="D45" s="155">
        <f>D34+D39+D44</f>
        <v>40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4294</v>
      </c>
      <c r="H48" s="152">
        <v>4195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4294</v>
      </c>
      <c r="H49" s="154">
        <f>SUM(H43:H48)</f>
        <v>4195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14971</v>
      </c>
      <c r="D55" s="155">
        <f>D19+D20+D21+D27+D32+D45+D51+D53+D54</f>
        <v>15305</v>
      </c>
      <c r="E55" s="237" t="s">
        <v>172</v>
      </c>
      <c r="F55" s="261" t="s">
        <v>173</v>
      </c>
      <c r="G55" s="154">
        <f>G49+G51+G52+G53+G54</f>
        <v>4294</v>
      </c>
      <c r="H55" s="154">
        <f>H49+H51+H52+H53+H54</f>
        <v>4195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4778</v>
      </c>
      <c r="D58" s="151">
        <v>4623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1236</v>
      </c>
      <c r="D59" s="151">
        <v>533</v>
      </c>
      <c r="E59" s="251" t="s">
        <v>181</v>
      </c>
      <c r="F59" s="242" t="s">
        <v>182</v>
      </c>
      <c r="G59" s="152">
        <v>0</v>
      </c>
      <c r="H59" s="152"/>
      <c r="M59" s="157"/>
    </row>
    <row r="60" spans="1:8" ht="15">
      <c r="A60" s="235" t="s">
        <v>183</v>
      </c>
      <c r="B60" s="241" t="s">
        <v>184</v>
      </c>
      <c r="C60" s="151">
        <v>151</v>
      </c>
      <c r="D60" s="151">
        <v>136</v>
      </c>
      <c r="E60" s="237" t="s">
        <v>185</v>
      </c>
      <c r="F60" s="242" t="s">
        <v>186</v>
      </c>
      <c r="G60" s="152">
        <v>24</v>
      </c>
      <c r="H60" s="152">
        <v>124</v>
      </c>
    </row>
    <row r="61" spans="1:18" ht="15">
      <c r="A61" s="235" t="s">
        <v>187</v>
      </c>
      <c r="B61" s="244" t="s">
        <v>188</v>
      </c>
      <c r="C61" s="151">
        <v>287</v>
      </c>
      <c r="D61" s="151">
        <v>122</v>
      </c>
      <c r="E61" s="243" t="s">
        <v>189</v>
      </c>
      <c r="F61" s="272" t="s">
        <v>190</v>
      </c>
      <c r="G61" s="154">
        <f>SUM(G62:G68)</f>
        <v>3870</v>
      </c>
      <c r="H61" s="154">
        <f>SUM(H62:H68)</f>
        <v>2193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</v>
      </c>
      <c r="H62" s="152">
        <v>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6452</v>
      </c>
      <c r="D64" s="155">
        <f>SUM(D58:D63)</f>
        <v>5414</v>
      </c>
      <c r="E64" s="237" t="s">
        <v>200</v>
      </c>
      <c r="F64" s="242" t="s">
        <v>201</v>
      </c>
      <c r="G64" s="152">
        <v>3422</v>
      </c>
      <c r="H64" s="152">
        <v>1528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272</v>
      </c>
      <c r="H66" s="152">
        <v>338</v>
      </c>
    </row>
    <row r="67" spans="1:8" ht="15">
      <c r="A67" s="235" t="s">
        <v>207</v>
      </c>
      <c r="B67" s="241" t="s">
        <v>208</v>
      </c>
      <c r="C67" s="151">
        <v>7328</v>
      </c>
      <c r="D67" s="151">
        <v>4258</v>
      </c>
      <c r="E67" s="237" t="s">
        <v>209</v>
      </c>
      <c r="F67" s="242" t="s">
        <v>210</v>
      </c>
      <c r="G67" s="152">
        <v>117</v>
      </c>
      <c r="H67" s="152">
        <v>109</v>
      </c>
    </row>
    <row r="68" spans="1:8" ht="15">
      <c r="A68" s="235" t="s">
        <v>211</v>
      </c>
      <c r="B68" s="241" t="s">
        <v>212</v>
      </c>
      <c r="C68" s="151">
        <v>1261</v>
      </c>
      <c r="D68" s="151">
        <v>111</v>
      </c>
      <c r="E68" s="237" t="s">
        <v>213</v>
      </c>
      <c r="F68" s="242" t="s">
        <v>214</v>
      </c>
      <c r="G68" s="152">
        <v>49</v>
      </c>
      <c r="H68" s="152">
        <v>216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179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610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4504</v>
      </c>
      <c r="H71" s="161">
        <f>H59+H60+H61+H69+H70</f>
        <v>2496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308</v>
      </c>
      <c r="D72" s="151">
        <v>131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8933</v>
      </c>
      <c r="D75" s="155">
        <f>SUM(D67:D74)</f>
        <v>4500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4504</v>
      </c>
      <c r="H79" s="162">
        <f>H71+H74+H75+H76</f>
        <v>2496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530</v>
      </c>
      <c r="D88" s="151">
        <v>1479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543</v>
      </c>
      <c r="D91" s="155">
        <f>SUM(D87:D90)</f>
        <v>1488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15928</v>
      </c>
      <c r="D93" s="155">
        <f>D64+D75+D84+D91+D92</f>
        <v>11402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30899</v>
      </c>
      <c r="D94" s="164">
        <f>D93+D55</f>
        <v>26707</v>
      </c>
      <c r="E94" s="449" t="s">
        <v>270</v>
      </c>
      <c r="F94" s="289" t="s">
        <v>271</v>
      </c>
      <c r="G94" s="165">
        <f>G36+G39+G55+G79</f>
        <v>30899</v>
      </c>
      <c r="H94" s="165">
        <f>H36+H39+H55+H79</f>
        <v>26707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C11:D18 C30:D30 C35:D38 C40:D44 C23:D26 C53:D54 C47:D50 C58:D63 C79:D83 C67:D74 C92:D92 C87:D90 G74:H76 G62:H70 G28:H28 G31:H31 G19:H19 G22:H24 G51:H54 G43:H48 G11:H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E47" sqref="E4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"КОРАДО-БЪЛГАРИЯ" ГР.СТРАЖИЦА</v>
      </c>
      <c r="C2" s="587"/>
      <c r="D2" s="587"/>
      <c r="E2" s="587"/>
      <c r="F2" s="589" t="s">
        <v>2</v>
      </c>
      <c r="G2" s="589"/>
      <c r="H2" s="526">
        <f>'справка №1-БАЛАНС'!H3</f>
        <v>814190902</v>
      </c>
    </row>
    <row r="3" spans="1:8" ht="15">
      <c r="A3" s="467" t="s">
        <v>275</v>
      </c>
      <c r="B3" s="587" t="str">
        <f>'справка №1-БАЛАНС'!E4</f>
        <v> 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>
        <f>'справка №1-БАЛАНС'!E5</f>
        <v>43373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22817</v>
      </c>
      <c r="D9" s="46">
        <v>23008</v>
      </c>
      <c r="E9" s="298" t="s">
        <v>285</v>
      </c>
      <c r="F9" s="549" t="s">
        <v>286</v>
      </c>
      <c r="G9" s="575">
        <v>33389</v>
      </c>
      <c r="H9" s="575">
        <v>31805</v>
      </c>
    </row>
    <row r="10" spans="1:8" ht="12">
      <c r="A10" s="298" t="s">
        <v>287</v>
      </c>
      <c r="B10" s="299" t="s">
        <v>288</v>
      </c>
      <c r="C10" s="46">
        <v>1330</v>
      </c>
      <c r="D10" s="46">
        <v>1070</v>
      </c>
      <c r="E10" s="298" t="s">
        <v>289</v>
      </c>
      <c r="F10" s="549" t="s">
        <v>290</v>
      </c>
      <c r="G10" s="575">
        <v>310</v>
      </c>
      <c r="H10" s="575">
        <v>485</v>
      </c>
    </row>
    <row r="11" spans="1:8" ht="12">
      <c r="A11" s="298" t="s">
        <v>291</v>
      </c>
      <c r="B11" s="299" t="s">
        <v>292</v>
      </c>
      <c r="C11" s="46">
        <v>819</v>
      </c>
      <c r="D11" s="46">
        <v>830</v>
      </c>
      <c r="E11" s="300" t="s">
        <v>293</v>
      </c>
      <c r="F11" s="549" t="s">
        <v>294</v>
      </c>
      <c r="G11" s="575"/>
      <c r="H11" s="575"/>
    </row>
    <row r="12" spans="1:8" ht="12">
      <c r="A12" s="298" t="s">
        <v>295</v>
      </c>
      <c r="B12" s="299" t="s">
        <v>296</v>
      </c>
      <c r="C12" s="46">
        <v>2861</v>
      </c>
      <c r="D12" s="46">
        <v>2759</v>
      </c>
      <c r="E12" s="300" t="s">
        <v>78</v>
      </c>
      <c r="F12" s="549" t="s">
        <v>297</v>
      </c>
      <c r="G12" s="575">
        <v>351</v>
      </c>
      <c r="H12" s="575">
        <v>162</v>
      </c>
    </row>
    <row r="13" spans="1:18" ht="12">
      <c r="A13" s="298" t="s">
        <v>298</v>
      </c>
      <c r="B13" s="299" t="s">
        <v>299</v>
      </c>
      <c r="C13" s="46">
        <v>526</v>
      </c>
      <c r="D13" s="46">
        <v>487</v>
      </c>
      <c r="E13" s="301" t="s">
        <v>51</v>
      </c>
      <c r="F13" s="551" t="s">
        <v>300</v>
      </c>
      <c r="G13" s="548">
        <f>SUM(G9:G12)</f>
        <v>34050</v>
      </c>
      <c r="H13" s="548">
        <f>SUM(H9:H12)</f>
        <v>32452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540</v>
      </c>
      <c r="D14" s="46">
        <v>658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-875</v>
      </c>
      <c r="D15" s="47">
        <v>-721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85</v>
      </c>
      <c r="D16" s="47">
        <v>73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28103</v>
      </c>
      <c r="D19" s="49">
        <f>SUM(D9:D15)+D16</f>
        <v>28164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55</v>
      </c>
      <c r="D22" s="46">
        <v>55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</v>
      </c>
      <c r="D24" s="46">
        <v>8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25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88</v>
      </c>
      <c r="D26" s="49">
        <f>SUM(D22:D25)</f>
        <v>84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28191</v>
      </c>
      <c r="D28" s="50">
        <f>D26+D19</f>
        <v>28248</v>
      </c>
      <c r="E28" s="127" t="s">
        <v>339</v>
      </c>
      <c r="F28" s="554" t="s">
        <v>340</v>
      </c>
      <c r="G28" s="548">
        <f>G13+G15+G24</f>
        <v>34050</v>
      </c>
      <c r="H28" s="548">
        <f>H13+H15+H24</f>
        <v>32452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5859</v>
      </c>
      <c r="D30" s="50">
        <f>IF((H28-D28)&gt;0,H28-D28,0)</f>
        <v>4204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28191</v>
      </c>
      <c r="D33" s="49">
        <f>D28+D31+D32</f>
        <v>28248</v>
      </c>
      <c r="E33" s="127" t="s">
        <v>353</v>
      </c>
      <c r="F33" s="554" t="s">
        <v>354</v>
      </c>
      <c r="G33" s="53">
        <f>G32+G31+G28</f>
        <v>34050</v>
      </c>
      <c r="H33" s="53">
        <f>H32+H31+H28</f>
        <v>32452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5859</v>
      </c>
      <c r="D34" s="50">
        <f>IF((H33-D33)&gt;0,H33-D33,0)</f>
        <v>4204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350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350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5509</v>
      </c>
      <c r="D39" s="460">
        <f>+IF((H33-D33-D35)&gt;0,H33-D33-D35,0)</f>
        <v>4204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5509</v>
      </c>
      <c r="D41" s="52">
        <f>IF(H39=0,IF(D39-D40&gt;0,D39-D40+H40,0),IF(H39-H40&lt;0,H40-H39+D39,0))</f>
        <v>4204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34050</v>
      </c>
      <c r="D42" s="53">
        <f>D33+D35+D39</f>
        <v>32452</v>
      </c>
      <c r="E42" s="128" t="s">
        <v>380</v>
      </c>
      <c r="F42" s="129" t="s">
        <v>381</v>
      </c>
      <c r="G42" s="53">
        <f>G39+G33</f>
        <v>34050</v>
      </c>
      <c r="H42" s="53">
        <f>H39+H33</f>
        <v>32452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>
        <v>43398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"КОРАДО-БЪЛГАРИЯ" ГР.СТРАЖИЦА</v>
      </c>
      <c r="C4" s="541" t="s">
        <v>2</v>
      </c>
      <c r="D4" s="541">
        <f>'справка №1-БАЛАНС'!H3</f>
        <v>814190902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43373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28595</v>
      </c>
      <c r="D10" s="54">
        <v>28422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-21927</v>
      </c>
      <c r="D11" s="54">
        <v>-23159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-3436</v>
      </c>
      <c r="D13" s="54">
        <v>-2840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631</v>
      </c>
      <c r="D14" s="54">
        <v>637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-552</v>
      </c>
      <c r="D15" s="54">
        <v>-278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-45</v>
      </c>
      <c r="D17" s="54">
        <v>-41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-9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-129</v>
      </c>
      <c r="D19" s="54">
        <v>-442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3128</v>
      </c>
      <c r="D20" s="55">
        <f>SUM(D10:D19)</f>
        <v>2291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-528</v>
      </c>
      <c r="D22" s="54">
        <v>-957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-528</v>
      </c>
      <c r="D32" s="55">
        <f>SUM(D22:D31)</f>
        <v>-957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-125</v>
      </c>
      <c r="D38" s="54">
        <v>-98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-3420</v>
      </c>
      <c r="D40" s="54">
        <v>-2281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-3545</v>
      </c>
      <c r="D42" s="55">
        <f>SUM(D34:D41)</f>
        <v>-2379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-945</v>
      </c>
      <c r="D43" s="55">
        <f>D42+D32+D20</f>
        <v>-1045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1488</v>
      </c>
      <c r="D44" s="132">
        <v>2301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543</v>
      </c>
      <c r="D45" s="55">
        <f>D44+D43</f>
        <v>1256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8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H36" sqref="H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"КОРАДО-БЪЛГАРИЯ" ГР.СТРАЖИЦА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814190902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 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43373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13169</v>
      </c>
      <c r="D11" s="58">
        <f>'справка №1-БАЛАНС'!H19</f>
        <v>119</v>
      </c>
      <c r="E11" s="58">
        <f>'справка №1-БАЛАНС'!H20</f>
        <v>20</v>
      </c>
      <c r="F11" s="58">
        <f>'справка №1-БАЛАНС'!H22</f>
        <v>878</v>
      </c>
      <c r="G11" s="58">
        <f>'справка №1-БАЛАНС'!H23</f>
        <v>0</v>
      </c>
      <c r="H11" s="60"/>
      <c r="I11" s="58">
        <f>'справка №1-БАЛАНС'!H28+'справка №1-БАЛАНС'!H31</f>
        <v>6143</v>
      </c>
      <c r="J11" s="58">
        <f>'справка №1-БАЛАНС'!H29+'справка №1-БАЛАНС'!H32</f>
        <v>-313</v>
      </c>
      <c r="K11" s="60"/>
      <c r="L11" s="344">
        <f>SUM(C11:K11)</f>
        <v>20016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13169</v>
      </c>
      <c r="D15" s="61">
        <f aca="true" t="shared" si="2" ref="D15:M15">D11+D12</f>
        <v>119</v>
      </c>
      <c r="E15" s="61">
        <f t="shared" si="2"/>
        <v>20</v>
      </c>
      <c r="F15" s="61">
        <f t="shared" si="2"/>
        <v>878</v>
      </c>
      <c r="G15" s="61">
        <f t="shared" si="2"/>
        <v>0</v>
      </c>
      <c r="H15" s="61">
        <f t="shared" si="2"/>
        <v>0</v>
      </c>
      <c r="I15" s="61">
        <f t="shared" si="2"/>
        <v>6143</v>
      </c>
      <c r="J15" s="61">
        <f t="shared" si="2"/>
        <v>-313</v>
      </c>
      <c r="K15" s="61">
        <f t="shared" si="2"/>
        <v>0</v>
      </c>
      <c r="L15" s="344">
        <f t="shared" si="1"/>
        <v>20016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5509</v>
      </c>
      <c r="J16" s="345">
        <f>+'справка №1-БАЛАНС'!G32</f>
        <v>0</v>
      </c>
      <c r="K16" s="60"/>
      <c r="L16" s="344">
        <f t="shared" si="1"/>
        <v>5509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439</v>
      </c>
      <c r="G17" s="62">
        <f t="shared" si="3"/>
        <v>0</v>
      </c>
      <c r="H17" s="62">
        <f t="shared" si="3"/>
        <v>0</v>
      </c>
      <c r="I17" s="62">
        <f t="shared" si="3"/>
        <v>-3863</v>
      </c>
      <c r="J17" s="62">
        <f>J18+J19</f>
        <v>0</v>
      </c>
      <c r="K17" s="62">
        <f t="shared" si="3"/>
        <v>0</v>
      </c>
      <c r="L17" s="344">
        <f t="shared" si="1"/>
        <v>-3424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-3424</v>
      </c>
      <c r="J18" s="60"/>
      <c r="K18" s="60"/>
      <c r="L18" s="344">
        <f t="shared" si="1"/>
        <v>-3424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439</v>
      </c>
      <c r="G19" s="60"/>
      <c r="H19" s="60"/>
      <c r="I19" s="60">
        <v>-439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576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576"/>
      <c r="D28" s="576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13169</v>
      </c>
      <c r="D29" s="59">
        <f aca="true" t="shared" si="6" ref="D29:M29">D17+D20+D21+D24+D28+D27+D15+D16</f>
        <v>119</v>
      </c>
      <c r="E29" s="59">
        <f t="shared" si="6"/>
        <v>20</v>
      </c>
      <c r="F29" s="59">
        <f t="shared" si="6"/>
        <v>1317</v>
      </c>
      <c r="G29" s="59">
        <f t="shared" si="6"/>
        <v>0</v>
      </c>
      <c r="H29" s="59">
        <f t="shared" si="6"/>
        <v>0</v>
      </c>
      <c r="I29" s="59">
        <f t="shared" si="6"/>
        <v>7789</v>
      </c>
      <c r="J29" s="59">
        <f t="shared" si="6"/>
        <v>-313</v>
      </c>
      <c r="K29" s="59">
        <f t="shared" si="6"/>
        <v>0</v>
      </c>
      <c r="L29" s="344">
        <f t="shared" si="1"/>
        <v>22101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13169</v>
      </c>
      <c r="D32" s="59">
        <f t="shared" si="7"/>
        <v>119</v>
      </c>
      <c r="E32" s="59">
        <f t="shared" si="7"/>
        <v>20</v>
      </c>
      <c r="F32" s="59">
        <f t="shared" si="7"/>
        <v>1317</v>
      </c>
      <c r="G32" s="59">
        <f t="shared" si="7"/>
        <v>0</v>
      </c>
      <c r="H32" s="59">
        <f t="shared" si="7"/>
        <v>0</v>
      </c>
      <c r="I32" s="59">
        <f t="shared" si="7"/>
        <v>7789</v>
      </c>
      <c r="J32" s="59">
        <f t="shared" si="7"/>
        <v>-313</v>
      </c>
      <c r="K32" s="59">
        <f t="shared" si="7"/>
        <v>0</v>
      </c>
      <c r="L32" s="344">
        <f t="shared" si="1"/>
        <v>22101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F44" sqref="F44:F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"КОРАДО-БЪЛГАРИЯ" ГР.СТРАЖИЦА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814190902</v>
      </c>
      <c r="P2" s="483"/>
      <c r="Q2" s="483"/>
      <c r="R2" s="526"/>
    </row>
    <row r="3" spans="1:18" ht="15">
      <c r="A3" s="599" t="s">
        <v>5</v>
      </c>
      <c r="B3" s="600"/>
      <c r="C3" s="602">
        <f>'справка №1-БАЛАНС'!E5</f>
        <v>43373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407</v>
      </c>
      <c r="E9" s="189"/>
      <c r="F9" s="189"/>
      <c r="G9" s="74">
        <f>D9+E9-F9</f>
        <v>407</v>
      </c>
      <c r="H9" s="65"/>
      <c r="I9" s="65"/>
      <c r="J9" s="74">
        <f>G9+H9-I9</f>
        <v>407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407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4734</v>
      </c>
      <c r="E10" s="189">
        <v>198</v>
      </c>
      <c r="F10" s="189"/>
      <c r="G10" s="74">
        <f aca="true" t="shared" si="2" ref="G10:G39">D10+E10-F10</f>
        <v>4932</v>
      </c>
      <c r="H10" s="65"/>
      <c r="I10" s="65"/>
      <c r="J10" s="74">
        <f aca="true" t="shared" si="3" ref="J10:J39">G10+H10-I10</f>
        <v>4932</v>
      </c>
      <c r="K10" s="65">
        <v>2643</v>
      </c>
      <c r="L10" s="65">
        <v>133</v>
      </c>
      <c r="M10" s="65"/>
      <c r="N10" s="74">
        <f aca="true" t="shared" si="4" ref="N10:N39">K10+L10-M10</f>
        <v>2776</v>
      </c>
      <c r="O10" s="65"/>
      <c r="P10" s="65"/>
      <c r="Q10" s="74">
        <f t="shared" si="0"/>
        <v>2776</v>
      </c>
      <c r="R10" s="74">
        <f t="shared" si="1"/>
        <v>2156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18307</v>
      </c>
      <c r="E11" s="189">
        <v>140</v>
      </c>
      <c r="F11" s="189"/>
      <c r="G11" s="74">
        <f t="shared" si="2"/>
        <v>18447</v>
      </c>
      <c r="H11" s="65"/>
      <c r="I11" s="65"/>
      <c r="J11" s="74">
        <f t="shared" si="3"/>
        <v>18447</v>
      </c>
      <c r="K11" s="65">
        <v>6658</v>
      </c>
      <c r="L11" s="65">
        <v>598</v>
      </c>
      <c r="M11" s="65"/>
      <c r="N11" s="74">
        <f t="shared" si="4"/>
        <v>7256</v>
      </c>
      <c r="O11" s="65"/>
      <c r="P11" s="65"/>
      <c r="Q11" s="74">
        <f t="shared" si="0"/>
        <v>7256</v>
      </c>
      <c r="R11" s="74">
        <f t="shared" si="1"/>
        <v>11191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133</v>
      </c>
      <c r="E12" s="189">
        <v>21</v>
      </c>
      <c r="F12" s="189"/>
      <c r="G12" s="74">
        <f t="shared" si="2"/>
        <v>154</v>
      </c>
      <c r="H12" s="65"/>
      <c r="I12" s="65"/>
      <c r="J12" s="74">
        <f t="shared" si="3"/>
        <v>154</v>
      </c>
      <c r="K12" s="65">
        <v>88</v>
      </c>
      <c r="L12" s="65">
        <v>16</v>
      </c>
      <c r="M12" s="65"/>
      <c r="N12" s="74">
        <f t="shared" si="4"/>
        <v>104</v>
      </c>
      <c r="O12" s="65"/>
      <c r="P12" s="65"/>
      <c r="Q12" s="74">
        <f t="shared" si="0"/>
        <v>104</v>
      </c>
      <c r="R12" s="74">
        <f t="shared" si="1"/>
        <v>50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914</v>
      </c>
      <c r="E13" s="189">
        <v>155</v>
      </c>
      <c r="F13" s="189"/>
      <c r="G13" s="74">
        <f t="shared" si="2"/>
        <v>1069</v>
      </c>
      <c r="H13" s="65"/>
      <c r="I13" s="65"/>
      <c r="J13" s="74">
        <f t="shared" si="3"/>
        <v>1069</v>
      </c>
      <c r="K13" s="65">
        <v>457</v>
      </c>
      <c r="L13" s="65">
        <v>45</v>
      </c>
      <c r="M13" s="65"/>
      <c r="N13" s="74">
        <f t="shared" si="4"/>
        <v>502</v>
      </c>
      <c r="O13" s="65"/>
      <c r="P13" s="65"/>
      <c r="Q13" s="74">
        <f t="shared" si="0"/>
        <v>502</v>
      </c>
      <c r="R13" s="74">
        <f t="shared" si="1"/>
        <v>567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158</v>
      </c>
      <c r="E14" s="189">
        <v>3</v>
      </c>
      <c r="F14" s="189"/>
      <c r="G14" s="74">
        <f t="shared" si="2"/>
        <v>161</v>
      </c>
      <c r="H14" s="65"/>
      <c r="I14" s="65"/>
      <c r="J14" s="74">
        <f t="shared" si="3"/>
        <v>161</v>
      </c>
      <c r="K14" s="65">
        <v>114</v>
      </c>
      <c r="L14" s="65">
        <v>8</v>
      </c>
      <c r="M14" s="65"/>
      <c r="N14" s="74">
        <f t="shared" si="4"/>
        <v>122</v>
      </c>
      <c r="O14" s="65"/>
      <c r="P14" s="65"/>
      <c r="Q14" s="74">
        <f t="shared" si="0"/>
        <v>122</v>
      </c>
      <c r="R14" s="74">
        <f t="shared" si="1"/>
        <v>39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363</v>
      </c>
      <c r="E15" s="457">
        <v>219</v>
      </c>
      <c r="F15" s="457">
        <v>264</v>
      </c>
      <c r="G15" s="74">
        <f t="shared" si="2"/>
        <v>318</v>
      </c>
      <c r="H15" s="458"/>
      <c r="I15" s="458"/>
      <c r="J15" s="74">
        <f t="shared" si="3"/>
        <v>318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276</v>
      </c>
      <c r="E16" s="189">
        <v>10</v>
      </c>
      <c r="F16" s="189"/>
      <c r="G16" s="74">
        <f t="shared" si="2"/>
        <v>286</v>
      </c>
      <c r="H16" s="65"/>
      <c r="I16" s="65"/>
      <c r="J16" s="74">
        <f t="shared" si="3"/>
        <v>286</v>
      </c>
      <c r="K16" s="65">
        <v>75</v>
      </c>
      <c r="L16" s="65">
        <v>17</v>
      </c>
      <c r="M16" s="65"/>
      <c r="N16" s="74">
        <f t="shared" si="4"/>
        <v>92</v>
      </c>
      <c r="O16" s="65"/>
      <c r="P16" s="65"/>
      <c r="Q16" s="74">
        <f aca="true" t="shared" si="5" ref="Q16:Q25">N16+O16-P16</f>
        <v>92</v>
      </c>
      <c r="R16" s="74">
        <f aca="true" t="shared" si="6" ref="R16:R25">J16-Q16</f>
        <v>194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25292</v>
      </c>
      <c r="E17" s="194">
        <f>SUM(E9:E16)</f>
        <v>746</v>
      </c>
      <c r="F17" s="194">
        <f>SUM(F9:F16)</f>
        <v>264</v>
      </c>
      <c r="G17" s="74">
        <f t="shared" si="2"/>
        <v>25774</v>
      </c>
      <c r="H17" s="75">
        <f>SUM(H9:H16)</f>
        <v>0</v>
      </c>
      <c r="I17" s="75">
        <f>SUM(I9:I16)</f>
        <v>0</v>
      </c>
      <c r="J17" s="74">
        <f t="shared" si="3"/>
        <v>25774</v>
      </c>
      <c r="K17" s="75">
        <f>SUM(K9:K16)</f>
        <v>10035</v>
      </c>
      <c r="L17" s="75">
        <f>SUM(L9:L16)</f>
        <v>817</v>
      </c>
      <c r="M17" s="75">
        <f>SUM(M9:M16)</f>
        <v>0</v>
      </c>
      <c r="N17" s="74">
        <f t="shared" si="4"/>
        <v>10852</v>
      </c>
      <c r="O17" s="75">
        <f>SUM(O9:O16)</f>
        <v>0</v>
      </c>
      <c r="P17" s="75">
        <f>SUM(P9:P16)</f>
        <v>0</v>
      </c>
      <c r="Q17" s="74">
        <f t="shared" si="5"/>
        <v>10852</v>
      </c>
      <c r="R17" s="74">
        <f t="shared" si="6"/>
        <v>14922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71</v>
      </c>
      <c r="E22" s="189">
        <v>5</v>
      </c>
      <c r="F22" s="189"/>
      <c r="G22" s="74">
        <f t="shared" si="2"/>
        <v>76</v>
      </c>
      <c r="H22" s="65"/>
      <c r="I22" s="65"/>
      <c r="J22" s="74">
        <f t="shared" si="3"/>
        <v>76</v>
      </c>
      <c r="K22" s="65">
        <v>63</v>
      </c>
      <c r="L22" s="65">
        <v>4</v>
      </c>
      <c r="M22" s="65"/>
      <c r="N22" s="74">
        <f t="shared" si="4"/>
        <v>67</v>
      </c>
      <c r="O22" s="65"/>
      <c r="P22" s="65"/>
      <c r="Q22" s="74">
        <f t="shared" si="5"/>
        <v>67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71</v>
      </c>
      <c r="E25" s="190">
        <f aca="true" t="shared" si="7" ref="E25:P25">SUM(E21:E24)</f>
        <v>5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63</v>
      </c>
      <c r="L25" s="66">
        <f t="shared" si="7"/>
        <v>4</v>
      </c>
      <c r="M25" s="66">
        <f t="shared" si="7"/>
        <v>0</v>
      </c>
      <c r="N25" s="67">
        <f t="shared" si="4"/>
        <v>67</v>
      </c>
      <c r="O25" s="66">
        <f t="shared" si="7"/>
        <v>0</v>
      </c>
      <c r="P25" s="66">
        <f t="shared" si="7"/>
        <v>0</v>
      </c>
      <c r="Q25" s="67">
        <f t="shared" si="5"/>
        <v>67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25363</v>
      </c>
      <c r="E40" s="438">
        <f>E17+E18+E19+E25+E38+E39</f>
        <v>751</v>
      </c>
      <c r="F40" s="438">
        <f aca="true" t="shared" si="13" ref="F40:R40">F17+F18+F19+F25+F38+F39</f>
        <v>264</v>
      </c>
      <c r="G40" s="438">
        <f t="shared" si="13"/>
        <v>25850</v>
      </c>
      <c r="H40" s="438">
        <f t="shared" si="13"/>
        <v>0</v>
      </c>
      <c r="I40" s="438">
        <f t="shared" si="13"/>
        <v>0</v>
      </c>
      <c r="J40" s="438">
        <f t="shared" si="13"/>
        <v>25850</v>
      </c>
      <c r="K40" s="438">
        <f t="shared" si="13"/>
        <v>10098</v>
      </c>
      <c r="L40" s="438">
        <f t="shared" si="13"/>
        <v>821</v>
      </c>
      <c r="M40" s="438">
        <f t="shared" si="13"/>
        <v>0</v>
      </c>
      <c r="N40" s="438">
        <f t="shared" si="13"/>
        <v>10919</v>
      </c>
      <c r="O40" s="438">
        <f t="shared" si="13"/>
        <v>0</v>
      </c>
      <c r="P40" s="438">
        <f t="shared" si="13"/>
        <v>0</v>
      </c>
      <c r="Q40" s="438">
        <f t="shared" si="13"/>
        <v>10919</v>
      </c>
      <c r="R40" s="438">
        <f t="shared" si="13"/>
        <v>14931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4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"КОРАДО-БЪЛГАРИЯ" ГР.СТРАЖИЦА</v>
      </c>
      <c r="C3" s="622"/>
      <c r="D3" s="526" t="s">
        <v>2</v>
      </c>
      <c r="E3" s="107">
        <f>'справка №1-БАЛАНС'!H3</f>
        <v>814190902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43373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40</v>
      </c>
      <c r="D16" s="119">
        <f>+D17+D18</f>
        <v>0</v>
      </c>
      <c r="E16" s="120">
        <f t="shared" si="0"/>
        <v>40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40</v>
      </c>
      <c r="D18" s="108"/>
      <c r="E18" s="120">
        <f t="shared" si="0"/>
        <v>40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40</v>
      </c>
      <c r="D19" s="104">
        <f>D11+D15+D16</f>
        <v>0</v>
      </c>
      <c r="E19" s="118">
        <f>E11+E15+E16</f>
        <v>40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7328</v>
      </c>
      <c r="D24" s="119">
        <f>SUM(D25:D27)</f>
        <v>7328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7328</v>
      </c>
      <c r="D26" s="108">
        <v>7328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1261</v>
      </c>
      <c r="D28" s="108">
        <v>1261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308</v>
      </c>
      <c r="D33" s="105">
        <f>SUM(D34:D37)</f>
        <v>308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308</v>
      </c>
      <c r="D35" s="108">
        <v>308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8933</v>
      </c>
      <c r="D43" s="104">
        <f>D24+D28+D29+D31+D30+D32+D33+D38</f>
        <v>8933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8973</v>
      </c>
      <c r="D44" s="103">
        <f>D43+D21+D19+D9</f>
        <v>8933</v>
      </c>
      <c r="E44" s="118">
        <f>E43+E21+E19+E9</f>
        <v>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3716</v>
      </c>
      <c r="D52" s="103">
        <f>SUM(D53:D55)</f>
        <v>0</v>
      </c>
      <c r="E52" s="119">
        <f>C52-D52</f>
        <v>3716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3716</v>
      </c>
      <c r="D53" s="108"/>
      <c r="E53" s="119">
        <f>C53-D53</f>
        <v>3716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578</v>
      </c>
      <c r="D64" s="108"/>
      <c r="E64" s="119">
        <f t="shared" si="1"/>
        <v>578</v>
      </c>
      <c r="F64" s="110"/>
    </row>
    <row r="65" spans="1:6" ht="12">
      <c r="A65" s="396" t="s">
        <v>710</v>
      </c>
      <c r="B65" s="397" t="s">
        <v>711</v>
      </c>
      <c r="C65" s="109">
        <v>193</v>
      </c>
      <c r="D65" s="109"/>
      <c r="E65" s="119">
        <f t="shared" si="1"/>
        <v>193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4294</v>
      </c>
      <c r="D66" s="103">
        <f>D52+D56+D61+D62+D63+D64</f>
        <v>0</v>
      </c>
      <c r="E66" s="119">
        <f t="shared" si="1"/>
        <v>4294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10</v>
      </c>
      <c r="D71" s="105">
        <f>SUM(D72:D74)</f>
        <v>10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</v>
      </c>
      <c r="D74" s="108">
        <v>10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24</v>
      </c>
      <c r="D80" s="103">
        <f>SUM(D81:D84)</f>
        <v>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24</v>
      </c>
      <c r="D84" s="108">
        <v>24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3860</v>
      </c>
      <c r="D85" s="104">
        <f>SUM(D86:D90)+D94</f>
        <v>3860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3422</v>
      </c>
      <c r="D87" s="108">
        <v>3422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272</v>
      </c>
      <c r="D89" s="108">
        <v>272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49</v>
      </c>
      <c r="D90" s="103">
        <f>SUM(D91:D93)</f>
        <v>49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49</v>
      </c>
      <c r="D93" s="108">
        <v>49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117</v>
      </c>
      <c r="D94" s="108">
        <v>117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610</v>
      </c>
      <c r="D95" s="108">
        <v>610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4504</v>
      </c>
      <c r="D96" s="104">
        <f>D85+D80+D75+D71+D95</f>
        <v>4504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8798</v>
      </c>
      <c r="D97" s="104">
        <f>D96+D68+D66</f>
        <v>4504</v>
      </c>
      <c r="E97" s="104">
        <f>E96+E68+E66</f>
        <v>4294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867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7" sqref="D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"КОРАДО-БЪЛГАРИЯ" ГР.СТРАЖИЦА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814190902</v>
      </c>
    </row>
    <row r="5" spans="1:9" ht="15">
      <c r="A5" s="501" t="s">
        <v>5</v>
      </c>
      <c r="B5" s="624">
        <f>'справка №1-БАЛАНС'!E5</f>
        <v>43373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124">
      <selection activeCell="G160" sqref="G1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"КОРАДО-БЪЛГАРИЯ" ГР.СТРАЖИЦА</v>
      </c>
      <c r="C5" s="630"/>
      <c r="D5" s="630"/>
      <c r="E5" s="570" t="s">
        <v>2</v>
      </c>
      <c r="F5" s="451">
        <f>'справка №1-БАЛАНС'!H3</f>
        <v>814190902</v>
      </c>
    </row>
    <row r="6" spans="1:13" ht="15" customHeight="1">
      <c r="A6" s="27" t="s">
        <v>823</v>
      </c>
      <c r="B6" s="631">
        <f>'справка №1-БАЛАНС'!E5</f>
        <v>43373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  <row r="156" ht="12.75">
      <c r="A156" s="509" t="s">
        <v>159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b8baysne</cp:lastModifiedBy>
  <cp:lastPrinted>2018-10-15T10:56:52Z</cp:lastPrinted>
  <dcterms:created xsi:type="dcterms:W3CDTF">2000-06-29T12:02:40Z</dcterms:created>
  <dcterms:modified xsi:type="dcterms:W3CDTF">2018-10-30T07:22:11Z</dcterms:modified>
  <cp:category/>
  <cp:version/>
  <cp:contentType/>
  <cp:contentStatus/>
</cp:coreProperties>
</file>