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<sst xmlns="http://schemas.openxmlformats.org/spreadsheetml/2006/main" count="1063" uniqueCount="871">
  <si>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</si>
  <si>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</si>
  <si>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</si>
  <si>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</si>
  <si>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</si>
  <si>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</si>
  <si>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</si>
  <si>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</si>
  <si>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</si>
  <si>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</si>
  <si>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</si>
  <si>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</si>
  <si>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</si>
  <si>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</si>
  <si>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</si>
  <si>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</si>
  <si>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</si>
  <si>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</si>
  <si>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</si>
  <si>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</si>
  <si>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</si>
  <si>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</si>
  <si>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</si>
  <si>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</si>
  <si>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</si>
  <si>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</si>
  <si>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</si>
  <si>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</si>
  <si>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</si>
  <si>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</si>
  <si>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</si>
  <si>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</si>
  <si>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</si>
  <si>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</si>
  <si>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</si>
  <si>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</si>
  <si>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</si>
  <si>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</si>
  <si>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</si>
  <si>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</si>
  <si>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</si>
  <si>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</si>
  <si>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</si>
  <si>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</si>
  <si>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</si>
  <si>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</si>
  <si>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</si>
  <si>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</si>
  <si>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</si>
  <si>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</si>
  <si>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</si>
  <si>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</si>
  <si>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</si>
  <si>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</si>
  <si>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</si>
  <si>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</si>
  <si>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</si>
  <si>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</si>
  <si>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</si>
  <si>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</si>
  <si>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</si>
  <si>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</si>
  <si>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</si>
  <si>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</si>
  <si>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</si>
  <si>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</si>
  <si>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</si>
  <si>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</si>
  <si>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</si>
  <si>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</si>
  <si>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</si>
  <si>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</si>
  <si>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</si>
  <si>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</si>
  <si>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</si>
  <si>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</si>
  <si>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</si>
  <si>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</si>
  <si>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</si>
  <si>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</si>
  <si>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</si>
  <si>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</si>
  <si>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</si>
  <si>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</si>
  <si>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</si>
  <si>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</si>
  <si>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</si>
  <si>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</si>
  <si>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</si>
  <si>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</si>
  <si>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</si>
  <si>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</si>
  <si>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</si>
  <si>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</si>
  <si>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</si>
  <si>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</si>
  <si>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</si>
  <si>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</si>
  <si>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</si>
  <si>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</si>
  <si>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</si>
  <si>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</si>
  <si>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</si>
  <si>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</si>
  <si>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</si>
  <si>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</si>
  <si>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</si>
  <si>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</si>
  <si>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</si>
  <si>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</si>
  <si>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</si>
  <si>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</si>
  <si>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</si>
  <si>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</si>
  <si>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</si>
  <si>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</si>
  <si>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</si>
  <si>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</si>
  <si>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</si>
  <si>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</si>
  <si>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</si>
  <si>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</si>
  <si>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</si>
  <si>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</si>
  <si>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</si>
  <si>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</si>
  <si>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</si>
  <si>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</si>
  <si>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</si>
  <si>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</si>
  <si>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</si>
  <si>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</si>
  <si>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</si>
  <si>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</si>
  <si>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</si>
  <si>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</si>
  <si>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</si>
  <si>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</si>
  <si>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</si>
  <si>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</si>
  <si>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</si>
  <si>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</si>
  <si>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</si>
  <si>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</si>
  <si>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</si>
  <si>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</si>
  <si>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</si>
  <si>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</si>
  <si>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</si>
  <si>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</si>
  <si>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</si>
  <si>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</si>
  <si>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</si>
  <si>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</si>
  <si>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</si>
  <si>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</si>
  <si>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</si>
  <si>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</si>
  <si>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</si>
  <si>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</si>
  <si>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</si>
  <si>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</si>
  <si>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</si>
  <si>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</si>
  <si>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</si>
  <si>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</si>
  <si>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</si>
  <si>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</si>
  <si>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</si>
  <si>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</si>
  <si>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</si>
  <si>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</si>
  <si>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</si>
  <si>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</si>
  <si>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</si>
  <si>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</si>
  <si>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</si>
  <si>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</si>
  <si>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</si>
  <si>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</si>
  <si>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</si>
  <si>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</si>
  <si>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</si>
  <si>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</si>
  <si>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</si>
  <si>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</si>
  <si>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</si>
  <si>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</si>
  <si>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</si>
  <si>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</si>
  <si>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</si>
  <si>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</si>
  <si>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</si>
  <si>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</si>
  <si>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</si>
  <si>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</si>
  <si>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</si>
  <si>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</si>
  <si>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</si>
  <si>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</si>
  <si>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</si>
  <si>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</si>
  <si>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</si>
  <si>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</si>
  <si>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</si>
  <si>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</si>
  <si>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</si>
  <si>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</si>
  <si>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</si>
  <si>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</si>
  <si>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</si>
  <si>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</si>
  <si>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</si>
  <si>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</si>
  <si>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</si>
  <si>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</si>
  <si>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</si>
  <si>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</si>
  <si>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</si>
  <si>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</si>
  <si>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</si>
  <si>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</si>
  <si>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</si>
  <si>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</si>
  <si>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</si>
  <si>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</si>
  <si>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</si>
  <si>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</si>
  <si>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</si>
  <si>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</si>
  <si>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</si>
  <si>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</si>
  <si>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</si>
  <si>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</si>
  <si>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</si>
  <si>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</si>
  <si>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</si>
  <si>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</si>
  <si>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</si>
  <si>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</si>
  <si>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</si>
  <si>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</si>
  <si>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</si>
  <si>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</si>
  <si>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</si>
  <si>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</si>
  <si>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</si>
  <si>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</si>
  <si>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</si>
  <si>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</si>
  <si>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</si>
  <si>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</si>
  <si>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</si>
  <si>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</si>
  <si>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</si>
  <si>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</si>
  <si>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</si>
  <si>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</si>
  <si>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</si>
  <si>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</si>
  <si>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</si>
  <si>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</si>
  <si>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</si>
  <si>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</si>
  <si>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</si>
  <si>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</si>
  <si>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</si>
  <si>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</si>
  <si>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</si>
  <si>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</si>
  <si>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</si>
  <si>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</si>
  <si>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</si>
  <si>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</si>
  <si>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</si>
  <si>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</si>
  <si>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</si>
  <si>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</si>
  <si>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</si>
  <si>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</si>
  <si>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</si>
  <si>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</si>
  <si>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</si>
  <si>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</si>
  <si>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</si>
  <si>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</si>
  <si>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</si>
  <si>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</si>
  <si>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</si>
  <si>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</si>
  <si>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</si>
  <si>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</si>
  <si>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</si>
  <si>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</si>
  <si>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</si>
  <si>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</si>
  <si>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</si>
  <si>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</si>
  <si>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</si>
  <si>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</si>
  <si>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</si>
  <si>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</si>
  <si>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</si>
  <si>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</si>
  <si>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</si>
  <si>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</si>
  <si>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</si>
  <si>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</si>
  <si>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</si>
  <si>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</si>
  <si>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</si>
  <si>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</si>
  <si>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</si>
  <si>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</si>
  <si>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</si>
  <si>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</si>
  <si>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</si>
  <si>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</si>
  <si>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</si>
  <si>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</si>
  <si>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</si>
  <si>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</si>
  <si>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</si>
  <si>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</si>
  <si>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</si>
  <si>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</si>
  <si>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</si>
  <si>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</si>
  <si>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</si>
  <si>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</si>
  <si>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</si>
  <si>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</si>
  <si>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</si>
  <si>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</si>
  <si>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</si>
  <si>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</si>
  <si>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</si>
  <si>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</si>
  <si>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</si>
  <si>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</si>
  <si>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</si>
  <si>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</si>
  <si>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</si>
  <si>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</si>
  <si>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</si>
  <si>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</si>
  <si>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</si>
  <si>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</si>
  <si>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</si>
  <si>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</si>
  <si>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</si>
  <si>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</si>
  <si>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</si>
  <si>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</si>
  <si>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</si>
  <si>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</si>
  <si>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</si>
  <si>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</si>
  <si>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</si>
  <si>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</si>
  <si>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</si>
  <si>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</si>
  <si>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</si>
  <si>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</si>
  <si>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</si>
  <si>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</si>
  <si>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</si>
  <si>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</si>
  <si>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</si>
  <si>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</si>
  <si>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</si>
  <si>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</si>
  <si>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</si>
  <si>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</si>
  <si>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</si>
  <si>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</si>
  <si>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</si>
  <si>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</si>
  <si>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</si>
  <si>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</si>
  <si>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</si>
  <si>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</si>
  <si>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</si>
  <si>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</si>
  <si>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</si>
  <si>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</si>
  <si>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</si>
  <si>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</si>
  <si>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</si>
  <si>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</si>
  <si>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</si>
  <si>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</si>
  <si>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</si>
  <si>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</si>
  <si>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</si>
  <si>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</si>
  <si>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</si>
  <si>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</si>
  <si>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</si>
  <si>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</si>
  <si>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</si>
  <si>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</si>
  <si>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</si>
  <si>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</si>
  <si>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</si>
  <si>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</si>
  <si>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</si>
  <si>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</si>
  <si>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</si>
  <si>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</si>
  <si>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</si>
  <si>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</si>
  <si>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</si>
  <si>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</si>
  <si>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</si>
  <si>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</si>
  <si>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</si>
  <si>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</si>
  <si>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</si>
  <si>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</si>
  <si>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</si>
  <si>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</si>
  <si>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</si>
  <si>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</si>
  <si>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</si>
  <si>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</si>
  <si>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</si>
  <si>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</si>
  <si>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</si>
  <si>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</si>
  <si>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</si>
  <si>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</si>
  <si>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</si>
  <si>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</si>
  <si>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</si>
  <si>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</si>
  <si>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</si>
  <si>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</si>
  <si>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</si>
  <si>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</si>
  <si>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</si>
  <si>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</si>
  <si>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</si>
  <si>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</si>
  <si>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</si>
  <si>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</si>
  <si>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</si>
  <si>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</si>
  <si>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</si>
  <si>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</si>
  <si>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</si>
  <si>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</si>
  <si>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</si>
  <si>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</si>
  <si>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</si>
  <si>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</si>
  <si>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</si>
  <si>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</si>
  <si>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</si>
  <si>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</si>
  <si>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</si>
  <si>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</si>
  <si>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</si>
  <si>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</si>
  <si>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</si>
  <si>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</si>
  <si>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</si>
  <si>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</si>
  <si>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</si>
  <si>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</si>
  <si>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</si>
  <si>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</si>
  <si>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</si>
  <si>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</si>
  <si>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</si>
  <si>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</si>
  <si>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</si>
  <si>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</si>
  <si>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</si>
  <si>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</si>
  <si>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</si>
  <si>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</si>
  <si>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</si>
  <si>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</si>
  <si>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</si>
  <si>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</si>
  <si>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</si>
  <si>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</si>
  <si>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</si>
  <si>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</si>
  <si>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</si>
  <si>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</si>
  <si>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</si>
  <si>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</si>
  <si>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</si>
  <si>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</si>
  <si>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</si>
  <si>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</si>
  <si>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</si>
  <si>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</si>
  <si>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</si>
  <si>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</si>
  <si>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</si>
  <si>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</si>
  <si>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</si>
  <si>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</si>
  <si>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</si>
  <si>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</si>
  <si>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</si>
  <si>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</si>
  <si>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</si>
  <si>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</si>
  <si>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</si>
  <si>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</si>
  <si>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</si>
  <si>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</si>
  <si>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</si>
  <si>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</si>
  <si>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</si>
  <si>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</si>
  <si>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</si>
  <si>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</si>
  <si>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</si>
  <si>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</si>
  <si>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</si>
  <si>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</si>
  <si>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</si>
  <si>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</si>
  <si>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</si>
  <si>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</si>
  <si>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</si>
  <si>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</si>
  <si>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</si>
  <si>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</si>
  <si>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</si>
  <si>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</si>
  <si>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</si>
  <si>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</si>
  <si>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</si>
  <si>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</si>
  <si>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</si>
  <si>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</si>
  <si>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</si>
  <si>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</si>
  <si>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</si>
  <si>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</si>
  <si>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</si>
  <si>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</si>
  <si>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</si>
  <si>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</si>
  <si>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</si>
  <si>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</si>
  <si>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</si>
  <si>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</si>
  <si>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</si>
  <si>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</si>
  <si>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</si>
  <si>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</si>
  <si>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</si>
  <si>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</si>
  <si>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</si>
  <si>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</si>
  <si>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</si>
  <si>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</si>
  <si>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</si>
  <si>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</si>
  <si>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</si>
  <si>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</si>
  <si>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</si>
  <si>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</si>
  <si>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</si>
  <si>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</si>
  <si>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</si>
  <si>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</si>
  <si>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</si>
  <si>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</si>
  <si>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</si>
  <si>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</si>
  <si>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</si>
  <si>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</si>
  <si>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</si>
  <si>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</si>
  <si>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</si>
  <si>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</si>
  <si>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</si>
  <si>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</si>
  <si>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</si>
  <si>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</si>
  <si>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</si>
  <si>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</si>
  <si>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</si>
  <si>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</si>
  <si>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</si>
  <si>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</si>
  <si>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</si>
  <si>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</si>
  <si>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</si>
  <si>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</si>
  <si>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</si>
  <si>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</si>
  <si>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</si>
  <si>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</si>
  <si>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</si>
  <si>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</si>
  <si>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</si>
  <si>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</si>
  <si>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</si>
  <si>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</si>
  <si>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</si>
  <si>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</si>
  <si>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</si>
  <si>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</si>
  <si>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</si>
  <si>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</si>
  <si>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</si>
  <si>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</si>
  <si>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</si>
  <si>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</si>
  <si>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</si>
  <si>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</si>
  <si>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</si>
  <si>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</si>
  <si>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</si>
  <si>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</si>
  <si>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</si>
  <si>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</si>
  <si>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</si>
  <si>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</si>
  <si>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</si>
  <si>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</si>
  <si>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</si>
  <si>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</si>
  <si>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</si>
  <si>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</si>
  <si>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</si>
  <si>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</si>
  <si>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</si>
  <si>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</si>
  <si>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</si>
  <si>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</si>
  <si>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</si>
  <si>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</si>
  <si>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</si>
  <si>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</si>
  <si>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</si>
  <si>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</si>
  <si>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</si>
  <si>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</si>
  <si>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</si>
  <si>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</si>
  <si>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</si>
  <si>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</si>
  <si>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</si>
  <si>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</si>
  <si>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</si>
  <si>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</si>
  <si>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</si>
  <si>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</si>
  <si>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</si>
  <si>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</si>
  <si>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</si>
  <si>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</si>
  <si>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</si>
  <si>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</si>
  <si>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</si>
  <si>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</si>
  <si>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</si>
  <si>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</si>
  <si>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</si>
  <si>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</si>
  <si>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</si>
  <si>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</si>
  <si>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</si>
  <si>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</si>
  <si>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</si>
  <si>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</si>
  <si>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</si>
  <si>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</si>
  <si>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</si>
  <si>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</si>
  <si>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</si>
  <si>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</si>
  <si>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</si>
  <si>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</si>
  <si>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</si>
  <si>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</si>
  <si>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</si>
  <si>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</si>
  <si>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</si>
  <si>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</si>
  <si>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</si>
  <si>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</si>
  <si>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</si>
  <si>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</si>
  <si>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</si>
  <si>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</si>
  <si>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</si>
  <si>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</si>
  <si>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</si>
  <si>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</si>
  <si>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</si>
  <si>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</si>
  <si>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</si>
  <si>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</si>
  <si>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</si>
  <si>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</si>
  <si>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</si>
  <si>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</si>
  <si>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</si>
  <si>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</si>
  <si>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</si>
  <si>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</si>
  <si>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</si>
  <si>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</si>
  <si>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</si>
  <si>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</si>
  <si>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</si>
  <si>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</si>
  <si>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</si>
  <si>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</si>
  <si>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</si>
  <si>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</si>
  <si>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</si>
  <si>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</si>
  <si>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</si>
  <si>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</si>
  <si>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</si>
  <si>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</si>
  <si>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</si>
  <si>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</si>
  <si>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</si>
  <si>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</si>
  <si>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</si>
  <si>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</si>
  <si>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</si>
  <si>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</si>
  <si>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</si>
  <si>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</si>
  <si>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</si>
  <si>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</si>
  <si>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</si>
  <si>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</si>
  <si>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</si>
  <si>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</si>
  <si>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</si>
  <si>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</si>
  <si>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</si>
  <si>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</si>
  <si>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</si>
  <si>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</si>
  <si>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</si>
  <si>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</si>
  <si>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</si>
  <si>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</si>
  <si>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</si>
  <si>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</si>
  <si>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</si>
  <si>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</si>
  <si>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</si>
  <si>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</si>
  <si>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</si>
  <si>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</si>
  <si>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</si>
  <si>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</si>
  <si>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</si>
  <si>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</si>
  <si>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</si>
  <si>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</si>
  <si>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</si>
  <si>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</si>
  <si>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</si>
  <si>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</si>
  <si>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</si>
  <si>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</si>
  <si>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</si>
  <si>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</si>
  <si>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</si>
  <si>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</si>
  <si>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</si>
  <si>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</si>
  <si>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</si>
  <si>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</si>
  <si>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</si>
  <si>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</si>
  <si>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</si>
  <si>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</si>
  <si>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</si>
  <si>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</si>
  <si>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</si>
  <si>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</si>
  <si>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</si>
  <si>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</si>
  <si>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</si>
  <si>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</si>
  <si>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</si>
  <si>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</si>
  <si>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</si>
  <si>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</si>
  <si>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</si>
  <si>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</si>
  <si>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</si>
  <si>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</si>
  <si>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</si>
  <si>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</si>
  <si>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</si>
  <si>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</si>
  <si>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</si>
  <si>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</si>
  <si>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</si>
  <si>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</si>
  <si>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</si>
  <si>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</si>
  <si>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</si>
  <si>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</si>
  <si>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</si>
  <si>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</si>
  <si>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</si>
  <si>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</si>
  <si>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</si>
  <si>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</si>
  <si>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</si>
  <si>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</si>
  <si>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</si>
  <si>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</si>
  <si>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</si>
  <si>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</si>
  <si>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</si>
  <si>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</si>
  <si>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</si>
  <si>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</si>
  <si>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</si>
  <si>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</si>
  <si>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</si>
  <si>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</si>
  <si>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</si>
  <si>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</si>
  <si>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</si>
  <si>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</si>
  <si>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</si>
  <si>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</si>
  <si>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</si>
  <si>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</si>
  <si>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</si>
  <si>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</si>
  <si>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</si>
  <si>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</si>
  <si>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</si>
  <si>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</si>
  <si>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</si>
  <si>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</si>
  <si>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</si>
  <si>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</si>
  <si>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</si>
  <si>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</si>
  <si>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</si>
  <si>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</si>
  <si>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</si>
  <si>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</si>
  <si>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</si>
  <si>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</si>
  <si>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</si>
  <si>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</si>
  <si>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</si>
  <si>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</si>
  <si>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</si>
  <si>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"КОРАДО-БЪЛГАРИЯ" ГР.СТРАЖИЦА</t>
  </si>
  <si>
    <t>Дата на съставяне:28,01,2016</t>
  </si>
  <si>
    <t>31,12,2016</t>
  </si>
  <si>
    <t>Дата на съставяне:26,01,2017</t>
  </si>
  <si>
    <t>26,01,2017</t>
  </si>
  <si>
    <t xml:space="preserve">Дата  на съставяне:26,01,2017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</si>
</sst>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633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6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6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" fontId="23" fillId="34" borderId="10" xfId="43" applyNumberFormat="1" applyFont="1" applyFill="1" applyBorder="1" applyProtection="1">
      <alignment/>
      <protection locked="0"/>
    </xf>
    <xf numFmtId="3" fontId="12" fillId="0" borderId="11" xfId="44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5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6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6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6" fontId="11" fillId="0" borderId="0" xfId="39" applyNumberFormat="1" applyFont="1" applyBorder="1" applyAlignment="1" applyProtection="1">
      <alignment horizontal="center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6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6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68">
      <selection activeCell="E110" sqref="E11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865</v>
      </c>
      <c r="F3" s="217" t="s">
        <v>2</v>
      </c>
      <c r="G3" s="172"/>
      <c r="H3" s="461">
        <v>814190902</v>
      </c>
    </row>
    <row r="4" spans="1:8" ht="15">
      <c r="A4" s="578" t="s">
        <v>3</v>
      </c>
      <c r="B4" s="584"/>
      <c r="C4" s="584"/>
      <c r="D4" s="584"/>
      <c r="E4" s="504" t="s">
        <v>159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240</v>
      </c>
      <c r="D11" s="151">
        <v>240</v>
      </c>
      <c r="E11" s="237" t="s">
        <v>22</v>
      </c>
      <c r="F11" s="242" t="s">
        <v>23</v>
      </c>
      <c r="G11" s="153">
        <v>8779</v>
      </c>
      <c r="H11" s="153">
        <v>8779</v>
      </c>
    </row>
    <row r="12" spans="1:8" ht="15">
      <c r="A12" s="235" t="s">
        <v>24</v>
      </c>
      <c r="B12" s="241" t="s">
        <v>25</v>
      </c>
      <c r="C12" s="151">
        <v>1679</v>
      </c>
      <c r="D12" s="151">
        <v>1600</v>
      </c>
      <c r="E12" s="237" t="s">
        <v>26</v>
      </c>
      <c r="F12" s="242" t="s">
        <v>27</v>
      </c>
      <c r="G12" s="153">
        <v>8779</v>
      </c>
      <c r="H12" s="153">
        <v>8779</v>
      </c>
    </row>
    <row r="13" spans="1:8" ht="15">
      <c r="A13" s="235" t="s">
        <v>28</v>
      </c>
      <c r="B13" s="241" t="s">
        <v>29</v>
      </c>
      <c r="C13" s="151">
        <v>12184</v>
      </c>
      <c r="D13" s="151">
        <v>8094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55</v>
      </c>
      <c r="D14" s="151">
        <v>73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415</v>
      </c>
      <c r="D15" s="151">
        <v>356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50</v>
      </c>
      <c r="D16" s="151">
        <v>59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379</v>
      </c>
      <c r="D17" s="151">
        <v>2954</v>
      </c>
      <c r="E17" s="243" t="s">
        <v>46</v>
      </c>
      <c r="F17" s="245" t="s">
        <v>47</v>
      </c>
      <c r="G17" s="154">
        <f>G11+G14+G15+G16</f>
        <v>8779</v>
      </c>
      <c r="H17" s="154">
        <f>H11+H14+H15+H16</f>
        <v>8779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125</v>
      </c>
      <c r="D18" s="151">
        <v>140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15127</v>
      </c>
      <c r="D19" s="155">
        <f>SUM(D11:D18)</f>
        <v>13516</v>
      </c>
      <c r="E19" s="237" t="s">
        <v>53</v>
      </c>
      <c r="F19" s="242" t="s">
        <v>54</v>
      </c>
      <c r="G19" s="152">
        <v>4509</v>
      </c>
      <c r="H19" s="152">
        <v>4509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</v>
      </c>
      <c r="H20" s="158">
        <v>20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765</v>
      </c>
      <c r="H21" s="156">
        <f>SUM(H22:H24)</f>
        <v>572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765</v>
      </c>
      <c r="H22" s="152">
        <v>572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12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5294</v>
      </c>
      <c r="H25" s="154">
        <f>H19+H20+H21</f>
        <v>5101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</v>
      </c>
      <c r="D27" s="155">
        <f>SUM(D23:D26)</f>
        <v>12</v>
      </c>
      <c r="E27" s="253" t="s">
        <v>83</v>
      </c>
      <c r="F27" s="242" t="s">
        <v>84</v>
      </c>
      <c r="G27" s="154">
        <f>SUM(G28:G30)</f>
        <v>587</v>
      </c>
      <c r="H27" s="154">
        <f>SUM(H28:H30)</f>
        <v>459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834</v>
      </c>
      <c r="H28" s="152">
        <v>675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-247</v>
      </c>
      <c r="H29" s="316">
        <v>-216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3253</v>
      </c>
      <c r="H31" s="152">
        <v>1932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3840</v>
      </c>
      <c r="H33" s="154">
        <f>H27+H31+H32</f>
        <v>2391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17913</v>
      </c>
      <c r="H36" s="154">
        <f>H25+H17+H33</f>
        <v>16271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37</v>
      </c>
      <c r="D44" s="151">
        <v>37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37</v>
      </c>
      <c r="D45" s="155">
        <f>D34+D39+D44</f>
        <v>37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4182</v>
      </c>
      <c r="H48" s="152">
        <v>462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4182</v>
      </c>
      <c r="H49" s="154">
        <f>SUM(H43:H48)</f>
        <v>462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15173</v>
      </c>
      <c r="D55" s="155">
        <f>D19+D20+D21+D27+D32+D45+D51+D53+D54</f>
        <v>13565</v>
      </c>
      <c r="E55" s="237" t="s">
        <v>172</v>
      </c>
      <c r="F55" s="261" t="s">
        <v>173</v>
      </c>
      <c r="G55" s="154">
        <f>G49+G51+G52+G53+G54</f>
        <v>4182</v>
      </c>
      <c r="H55" s="154">
        <f>H49+H51+H52+H53+H54</f>
        <v>462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4031</v>
      </c>
      <c r="D58" s="151">
        <v>3255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579</v>
      </c>
      <c r="D59" s="151">
        <v>458</v>
      </c>
      <c r="E59" s="251" t="s">
        <v>181</v>
      </c>
      <c r="F59" s="242" t="s">
        <v>182</v>
      </c>
      <c r="G59" s="152">
        <v>0</v>
      </c>
      <c r="H59" s="152"/>
      <c r="M59" s="157"/>
    </row>
    <row r="60" spans="1:8" ht="15">
      <c r="A60" s="235" t="s">
        <v>183</v>
      </c>
      <c r="B60" s="241" t="s">
        <v>184</v>
      </c>
      <c r="C60" s="151">
        <v>156</v>
      </c>
      <c r="D60" s="151">
        <v>121</v>
      </c>
      <c r="E60" s="237" t="s">
        <v>185</v>
      </c>
      <c r="F60" s="242" t="s">
        <v>186</v>
      </c>
      <c r="G60" s="152">
        <v>92</v>
      </c>
      <c r="H60" s="152">
        <v>62</v>
      </c>
    </row>
    <row r="61" spans="1:18" ht="15">
      <c r="A61" s="235" t="s">
        <v>187</v>
      </c>
      <c r="B61" s="244" t="s">
        <v>188</v>
      </c>
      <c r="C61" s="151">
        <v>131</v>
      </c>
      <c r="D61" s="151">
        <v>86</v>
      </c>
      <c r="E61" s="243" t="s">
        <v>189</v>
      </c>
      <c r="F61" s="272" t="s">
        <v>190</v>
      </c>
      <c r="G61" s="154">
        <f>SUM(G62:G68)</f>
        <v>3156</v>
      </c>
      <c r="H61" s="154">
        <f>SUM(H62:H68)</f>
        <v>3038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</v>
      </c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4897</v>
      </c>
      <c r="D64" s="155">
        <f>SUM(D58:D63)</f>
        <v>3920</v>
      </c>
      <c r="E64" s="237" t="s">
        <v>200</v>
      </c>
      <c r="F64" s="242" t="s">
        <v>201</v>
      </c>
      <c r="G64" s="152">
        <v>2776</v>
      </c>
      <c r="H64" s="152">
        <v>2661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242</v>
      </c>
      <c r="H66" s="152">
        <v>258</v>
      </c>
    </row>
    <row r="67" spans="1:8" ht="15">
      <c r="A67" s="235" t="s">
        <v>207</v>
      </c>
      <c r="B67" s="241" t="s">
        <v>208</v>
      </c>
      <c r="C67" s="151">
        <v>1662</v>
      </c>
      <c r="D67" s="151">
        <v>1351</v>
      </c>
      <c r="E67" s="237" t="s">
        <v>209</v>
      </c>
      <c r="F67" s="242" t="s">
        <v>210</v>
      </c>
      <c r="G67" s="152">
        <v>101</v>
      </c>
      <c r="H67" s="152">
        <v>76</v>
      </c>
    </row>
    <row r="68" spans="1:8" ht="15">
      <c r="A68" s="235" t="s">
        <v>211</v>
      </c>
      <c r="B68" s="241" t="s">
        <v>212</v>
      </c>
      <c r="C68" s="151">
        <v>905</v>
      </c>
      <c r="D68" s="151">
        <v>96</v>
      </c>
      <c r="E68" s="237" t="s">
        <v>213</v>
      </c>
      <c r="F68" s="242" t="s">
        <v>214</v>
      </c>
      <c r="G68" s="152">
        <v>28</v>
      </c>
      <c r="H68" s="152">
        <v>40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476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3724</v>
      </c>
      <c r="H71" s="161">
        <f>H59+H60+H61+H69+H70</f>
        <v>3100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840</v>
      </c>
      <c r="D72" s="151">
        <v>421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3407</v>
      </c>
      <c r="D75" s="155">
        <f>SUM(D67:D74)</f>
        <v>1868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3724</v>
      </c>
      <c r="H79" s="162">
        <f>H71+H74+H75+H76</f>
        <v>3100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10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2289</v>
      </c>
      <c r="D88" s="151">
        <v>470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2301</v>
      </c>
      <c r="D91" s="155">
        <f>SUM(D87:D90)</f>
        <v>480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10646</v>
      </c>
      <c r="D93" s="155">
        <f>D64+D75+D84+D91+D92</f>
        <v>6268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25819</v>
      </c>
      <c r="D94" s="164">
        <f>D93+D55</f>
        <v>19833</v>
      </c>
      <c r="E94" s="449" t="s">
        <v>270</v>
      </c>
      <c r="F94" s="289" t="s">
        <v>271</v>
      </c>
      <c r="G94" s="165">
        <f>G36+G39+G55+G79</f>
        <v>25819</v>
      </c>
      <c r="H94" s="165">
        <f>H36+H39+H55+H79</f>
        <v>19833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C11:D18 C30:D30 C35:D38 C40:D44 C23:D26 C53:D54 C47:D50 C58:D63 C79:D83 C67:D74 C92:D92 C87:D90 G74:H76 G62:H70 G28:H28 G31:H31 G19:H19 G22:H24 G51:H54 G43:H48 G11: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M22" sqref="M2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"КОРАДО-БЪЛГАРИЯ" ГР.СТРАЖИЦА</v>
      </c>
      <c r="C2" s="587"/>
      <c r="D2" s="587"/>
      <c r="E2" s="587"/>
      <c r="F2" s="589" t="s">
        <v>2</v>
      </c>
      <c r="G2" s="589"/>
      <c r="H2" s="526">
        <f>'справка №1-БАЛАНС'!H3</f>
        <v>814190902</v>
      </c>
    </row>
    <row r="3" spans="1:8" ht="15">
      <c r="A3" s="467" t="s">
        <v>275</v>
      </c>
      <c r="B3" s="587" t="str">
        <f>'справка №1-БАЛАНС'!E4</f>
        <v> 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 t="str">
        <f>'справка №1-БАЛАНС'!E5</f>
        <v>31,12,2016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22715</v>
      </c>
      <c r="D9" s="46">
        <v>19672</v>
      </c>
      <c r="E9" s="298" t="s">
        <v>285</v>
      </c>
      <c r="F9" s="549" t="s">
        <v>286</v>
      </c>
      <c r="G9" s="575">
        <v>32121</v>
      </c>
      <c r="H9" s="575">
        <v>26922</v>
      </c>
    </row>
    <row r="10" spans="1:8" ht="12">
      <c r="A10" s="298" t="s">
        <v>287</v>
      </c>
      <c r="B10" s="299" t="s">
        <v>288</v>
      </c>
      <c r="C10" s="46">
        <v>1346</v>
      </c>
      <c r="D10" s="46">
        <v>1182</v>
      </c>
      <c r="E10" s="298" t="s">
        <v>289</v>
      </c>
      <c r="F10" s="549" t="s">
        <v>290</v>
      </c>
      <c r="G10" s="575">
        <v>486</v>
      </c>
      <c r="H10" s="575">
        <v>527</v>
      </c>
    </row>
    <row r="11" spans="1:8" ht="12">
      <c r="A11" s="298" t="s">
        <v>291</v>
      </c>
      <c r="B11" s="299" t="s">
        <v>292</v>
      </c>
      <c r="C11" s="46">
        <v>1013</v>
      </c>
      <c r="D11" s="46">
        <v>797</v>
      </c>
      <c r="E11" s="300" t="s">
        <v>293</v>
      </c>
      <c r="F11" s="549" t="s">
        <v>294</v>
      </c>
      <c r="G11" s="575"/>
      <c r="H11" s="575"/>
    </row>
    <row r="12" spans="1:8" ht="12">
      <c r="A12" s="298" t="s">
        <v>295</v>
      </c>
      <c r="B12" s="299" t="s">
        <v>296</v>
      </c>
      <c r="C12" s="46">
        <v>3278</v>
      </c>
      <c r="D12" s="46">
        <v>2664</v>
      </c>
      <c r="E12" s="300" t="s">
        <v>78</v>
      </c>
      <c r="F12" s="549" t="s">
        <v>297</v>
      </c>
      <c r="G12" s="575">
        <v>154</v>
      </c>
      <c r="H12" s="575">
        <v>180</v>
      </c>
    </row>
    <row r="13" spans="1:18" ht="12">
      <c r="A13" s="298" t="s">
        <v>298</v>
      </c>
      <c r="B13" s="299" t="s">
        <v>299</v>
      </c>
      <c r="C13" s="46">
        <v>565</v>
      </c>
      <c r="D13" s="46">
        <v>471</v>
      </c>
      <c r="E13" s="301" t="s">
        <v>51</v>
      </c>
      <c r="F13" s="551" t="s">
        <v>300</v>
      </c>
      <c r="G13" s="548">
        <f>SUM(G9:G12)</f>
        <v>32761</v>
      </c>
      <c r="H13" s="548">
        <f>SUM(H9:H12)</f>
        <v>27629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501</v>
      </c>
      <c r="D14" s="46">
        <v>582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-183</v>
      </c>
      <c r="D15" s="47">
        <v>-78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175</v>
      </c>
      <c r="D16" s="47">
        <v>143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29410</v>
      </c>
      <c r="D19" s="49">
        <f>SUM(D9:D15)+D16</f>
        <v>25433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</v>
      </c>
      <c r="H21" s="550">
        <v>2</v>
      </c>
    </row>
    <row r="22" spans="1:8" ht="24">
      <c r="A22" s="304" t="s">
        <v>324</v>
      </c>
      <c r="B22" s="305" t="s">
        <v>325</v>
      </c>
      <c r="C22" s="46">
        <v>70</v>
      </c>
      <c r="D22" s="46">
        <v>16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8</v>
      </c>
      <c r="D24" s="46">
        <v>10</v>
      </c>
      <c r="E24" s="301" t="s">
        <v>103</v>
      </c>
      <c r="F24" s="554" t="s">
        <v>334</v>
      </c>
      <c r="G24" s="548">
        <f>SUM(G19:G23)</f>
        <v>1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21</v>
      </c>
      <c r="D25" s="46">
        <v>21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99</v>
      </c>
      <c r="D26" s="49">
        <f>SUM(D22:D25)</f>
        <v>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29509</v>
      </c>
      <c r="D28" s="50">
        <f>D26+D19</f>
        <v>25480</v>
      </c>
      <c r="E28" s="127" t="s">
        <v>339</v>
      </c>
      <c r="F28" s="554" t="s">
        <v>340</v>
      </c>
      <c r="G28" s="548">
        <f>G13+G15+G24</f>
        <v>32762</v>
      </c>
      <c r="H28" s="548">
        <f>H13+H15+H24</f>
        <v>27631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3253</v>
      </c>
      <c r="D30" s="50">
        <f>IF((H28-D28)&gt;0,H28-D28,0)</f>
        <v>2151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29509</v>
      </c>
      <c r="D33" s="49">
        <f>D28+D31+D32</f>
        <v>25480</v>
      </c>
      <c r="E33" s="127" t="s">
        <v>353</v>
      </c>
      <c r="F33" s="554" t="s">
        <v>354</v>
      </c>
      <c r="G33" s="53">
        <f>G32+G31+G28</f>
        <v>32762</v>
      </c>
      <c r="H33" s="53">
        <f>H32+H31+H28</f>
        <v>27631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3253</v>
      </c>
      <c r="D34" s="50">
        <f>IF((H33-D33)&gt;0,H33-D33,0)</f>
        <v>2151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219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213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3253</v>
      </c>
      <c r="D39" s="460">
        <f>+IF((H33-D33-D35)&gt;0,H33-D33-D35,0)</f>
        <v>1932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3253</v>
      </c>
      <c r="D41" s="52">
        <f>IF(H39=0,IF(D39-D40&gt;0,D39-D40+H40,0),IF(H39-H40&lt;0,H40-H39+D39,0))</f>
        <v>1932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32762</v>
      </c>
      <c r="D42" s="53">
        <f>D33+D35+D39</f>
        <v>27631</v>
      </c>
      <c r="E42" s="128" t="s">
        <v>380</v>
      </c>
      <c r="F42" s="129" t="s">
        <v>381</v>
      </c>
      <c r="G42" s="53">
        <f>G39+G33</f>
        <v>32762</v>
      </c>
      <c r="H42" s="53">
        <f>H39+H33</f>
        <v>27631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863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 t="s">
        <v>869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C22:D25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G38" sqref="G3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"КОРАДО-БЪЛГАРИЯ" ГР.СТРАЖИЦА</v>
      </c>
      <c r="C4" s="541" t="s">
        <v>2</v>
      </c>
      <c r="D4" s="541">
        <f>'справка №1-БАЛАНС'!H3</f>
        <v>814190902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31,12,2016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24125</v>
      </c>
      <c r="D10" s="54">
        <v>22594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-19338</v>
      </c>
      <c r="D11" s="54">
        <v>-18111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-3223</v>
      </c>
      <c r="D13" s="54">
        <v>-2904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787</v>
      </c>
      <c r="D14" s="54">
        <v>685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-310</v>
      </c>
      <c r="D15" s="54">
        <v>-227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-53</v>
      </c>
      <c r="D17" s="54">
        <v>-24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-213</v>
      </c>
      <c r="D19" s="54">
        <v>-262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1767</v>
      </c>
      <c r="D20" s="55">
        <f>SUM(D10:D19)</f>
        <v>1743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-2589</v>
      </c>
      <c r="D22" s="54">
        <v>-735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-379</v>
      </c>
      <c r="D31" s="54">
        <v>-3388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-2968</v>
      </c>
      <c r="D32" s="55">
        <f>SUM(D22:D31)</f>
        <v>-4123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6326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4694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-3330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-93</v>
      </c>
      <c r="D38" s="54">
        <v>-89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-1579</v>
      </c>
      <c r="D40" s="54">
        <v>-1050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3022</v>
      </c>
      <c r="D42" s="55">
        <f>SUM(D34:D41)</f>
        <v>1857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1821</v>
      </c>
      <c r="D43" s="55">
        <f>D42+D32+D20</f>
        <v>-523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480</v>
      </c>
      <c r="D44" s="132">
        <v>1003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2301</v>
      </c>
      <c r="D45" s="55">
        <f>D44+D43</f>
        <v>480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8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L35" sqref="L3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"КОРАДО-БЪЛГАРИЯ" ГР.СТРАЖИЦА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814190902</v>
      </c>
      <c r="N3" s="2"/>
    </row>
    <row r="4" spans="1:15" s="532" customFormat="1" ht="13.5" customHeight="1">
      <c r="A4" s="467" t="s">
        <v>461</v>
      </c>
      <c r="B4" s="594" t="str">
        <f>'справка №1-БАЛАНС'!E4</f>
        <v> 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31,12,2016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8779</v>
      </c>
      <c r="D11" s="58">
        <f>'справка №1-БАЛАНС'!H19</f>
        <v>4509</v>
      </c>
      <c r="E11" s="58">
        <f>'справка №1-БАЛАНС'!H20</f>
        <v>20</v>
      </c>
      <c r="F11" s="58">
        <f>'справка №1-БАЛАНС'!H22</f>
        <v>572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2607</v>
      </c>
      <c r="J11" s="58">
        <f>'справка №1-БАЛАНС'!H29+'справка №1-БАЛАНС'!H32</f>
        <v>-216</v>
      </c>
      <c r="K11" s="60"/>
      <c r="L11" s="344">
        <f>SUM(C11:K11)</f>
        <v>16271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8779</v>
      </c>
      <c r="D15" s="61">
        <f aca="true" t="shared" si="2" ref="D15:M15">D11+D12</f>
        <v>4509</v>
      </c>
      <c r="E15" s="61">
        <f t="shared" si="2"/>
        <v>20</v>
      </c>
      <c r="F15" s="61">
        <f t="shared" si="2"/>
        <v>572</v>
      </c>
      <c r="G15" s="61">
        <f t="shared" si="2"/>
        <v>0</v>
      </c>
      <c r="H15" s="61">
        <f t="shared" si="2"/>
        <v>0</v>
      </c>
      <c r="I15" s="61">
        <f t="shared" si="2"/>
        <v>2607</v>
      </c>
      <c r="J15" s="61">
        <f t="shared" si="2"/>
        <v>-216</v>
      </c>
      <c r="K15" s="61">
        <f t="shared" si="2"/>
        <v>0</v>
      </c>
      <c r="L15" s="344">
        <f t="shared" si="1"/>
        <v>16271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3253</v>
      </c>
      <c r="J16" s="345">
        <f>+'справка №1-БАЛАНС'!G32</f>
        <v>0</v>
      </c>
      <c r="K16" s="60"/>
      <c r="L16" s="344">
        <f t="shared" si="1"/>
        <v>3253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-1580</v>
      </c>
      <c r="J17" s="62">
        <f>J18+J19</f>
        <v>0</v>
      </c>
      <c r="K17" s="62">
        <f t="shared" si="3"/>
        <v>0</v>
      </c>
      <c r="L17" s="344">
        <f t="shared" si="1"/>
        <v>-1580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-1580</v>
      </c>
      <c r="J18" s="60"/>
      <c r="K18" s="60"/>
      <c r="L18" s="344">
        <f t="shared" si="1"/>
        <v>-1580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>
        <v>193</v>
      </c>
      <c r="G20" s="60"/>
      <c r="H20" s="60"/>
      <c r="I20" s="60">
        <v>-193</v>
      </c>
      <c r="J20" s="576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576"/>
      <c r="D28" s="576"/>
      <c r="E28" s="60"/>
      <c r="F28" s="60"/>
      <c r="G28" s="60"/>
      <c r="H28" s="60"/>
      <c r="I28" s="60"/>
      <c r="J28" s="60">
        <v>-31</v>
      </c>
      <c r="K28" s="60"/>
      <c r="L28" s="344">
        <f t="shared" si="1"/>
        <v>-31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8779</v>
      </c>
      <c r="D29" s="59">
        <f aca="true" t="shared" si="6" ref="D29:M29">D17+D20+D21+D24+D28+D27+D15+D16</f>
        <v>4509</v>
      </c>
      <c r="E29" s="59">
        <f t="shared" si="6"/>
        <v>20</v>
      </c>
      <c r="F29" s="59">
        <f t="shared" si="6"/>
        <v>765</v>
      </c>
      <c r="G29" s="59">
        <f t="shared" si="6"/>
        <v>0</v>
      </c>
      <c r="H29" s="59">
        <f t="shared" si="6"/>
        <v>0</v>
      </c>
      <c r="I29" s="59">
        <f t="shared" si="6"/>
        <v>4087</v>
      </c>
      <c r="J29" s="59">
        <f t="shared" si="6"/>
        <v>-247</v>
      </c>
      <c r="K29" s="59">
        <f t="shared" si="6"/>
        <v>0</v>
      </c>
      <c r="L29" s="344">
        <f t="shared" si="1"/>
        <v>17913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8779</v>
      </c>
      <c r="D32" s="59">
        <f t="shared" si="7"/>
        <v>4509</v>
      </c>
      <c r="E32" s="59">
        <f t="shared" si="7"/>
        <v>20</v>
      </c>
      <c r="F32" s="59">
        <f t="shared" si="7"/>
        <v>765</v>
      </c>
      <c r="G32" s="59">
        <f t="shared" si="7"/>
        <v>0</v>
      </c>
      <c r="H32" s="59">
        <f t="shared" si="7"/>
        <v>0</v>
      </c>
      <c r="I32" s="59">
        <f t="shared" si="7"/>
        <v>4087</v>
      </c>
      <c r="J32" s="59">
        <f t="shared" si="7"/>
        <v>-247</v>
      </c>
      <c r="K32" s="59">
        <f t="shared" si="7"/>
        <v>0</v>
      </c>
      <c r="L32" s="344">
        <f t="shared" si="1"/>
        <v>17913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I20 K18:K20 J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M29" sqref="M2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№1-БАЛАНС'!E3</f>
        <v>"КОРАДО-БЪЛГАРИЯ" ГР.СТРАЖИЦА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814190902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31,12,2016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61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240</v>
      </c>
      <c r="E9" s="189"/>
      <c r="F9" s="189"/>
      <c r="G9" s="74">
        <f>D9+E9-F9</f>
        <v>240</v>
      </c>
      <c r="H9" s="65"/>
      <c r="I9" s="65"/>
      <c r="J9" s="74">
        <f>G9+H9-I9</f>
        <v>240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3936</v>
      </c>
      <c r="E10" s="189">
        <v>253</v>
      </c>
      <c r="F10" s="189">
        <v>48</v>
      </c>
      <c r="G10" s="74">
        <f aca="true" t="shared" si="2" ref="G10:G39">D10+E10-F10</f>
        <v>4141</v>
      </c>
      <c r="H10" s="65"/>
      <c r="I10" s="65"/>
      <c r="J10" s="74">
        <f aca="true" t="shared" si="3" ref="J10:J39">G10+H10-I10</f>
        <v>4141</v>
      </c>
      <c r="K10" s="65">
        <v>2336</v>
      </c>
      <c r="L10" s="65">
        <v>172</v>
      </c>
      <c r="M10" s="65">
        <v>46</v>
      </c>
      <c r="N10" s="74">
        <f aca="true" t="shared" si="4" ref="N10:N39">K10+L10-M10</f>
        <v>2462</v>
      </c>
      <c r="O10" s="65"/>
      <c r="P10" s="65"/>
      <c r="Q10" s="74">
        <f t="shared" si="0"/>
        <v>2462</v>
      </c>
      <c r="R10" s="74">
        <f t="shared" si="1"/>
        <v>1679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13287</v>
      </c>
      <c r="E11" s="189">
        <v>4837</v>
      </c>
      <c r="F11" s="189">
        <v>68</v>
      </c>
      <c r="G11" s="74">
        <f t="shared" si="2"/>
        <v>18056</v>
      </c>
      <c r="H11" s="65"/>
      <c r="I11" s="65"/>
      <c r="J11" s="74">
        <f t="shared" si="3"/>
        <v>18056</v>
      </c>
      <c r="K11" s="65">
        <v>5193</v>
      </c>
      <c r="L11" s="65">
        <v>739</v>
      </c>
      <c r="M11" s="65">
        <v>60</v>
      </c>
      <c r="N11" s="74">
        <f t="shared" si="4"/>
        <v>5872</v>
      </c>
      <c r="O11" s="65"/>
      <c r="P11" s="65"/>
      <c r="Q11" s="74">
        <f t="shared" si="0"/>
        <v>5872</v>
      </c>
      <c r="R11" s="74">
        <f t="shared" si="1"/>
        <v>12184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122</v>
      </c>
      <c r="E12" s="189">
        <v>2</v>
      </c>
      <c r="F12" s="189"/>
      <c r="G12" s="74">
        <f t="shared" si="2"/>
        <v>124</v>
      </c>
      <c r="H12" s="65"/>
      <c r="I12" s="65"/>
      <c r="J12" s="74">
        <f t="shared" si="3"/>
        <v>124</v>
      </c>
      <c r="K12" s="65">
        <v>49</v>
      </c>
      <c r="L12" s="65">
        <v>20</v>
      </c>
      <c r="M12" s="65"/>
      <c r="N12" s="74">
        <f t="shared" si="4"/>
        <v>69</v>
      </c>
      <c r="O12" s="65"/>
      <c r="P12" s="65"/>
      <c r="Q12" s="74">
        <f t="shared" si="0"/>
        <v>69</v>
      </c>
      <c r="R12" s="74">
        <f t="shared" si="1"/>
        <v>55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746</v>
      </c>
      <c r="E13" s="189">
        <v>113</v>
      </c>
      <c r="F13" s="189">
        <v>4</v>
      </c>
      <c r="G13" s="74">
        <f t="shared" si="2"/>
        <v>855</v>
      </c>
      <c r="H13" s="65"/>
      <c r="I13" s="65"/>
      <c r="J13" s="74">
        <f t="shared" si="3"/>
        <v>855</v>
      </c>
      <c r="K13" s="65">
        <v>390</v>
      </c>
      <c r="L13" s="65">
        <v>54</v>
      </c>
      <c r="M13" s="65">
        <v>4</v>
      </c>
      <c r="N13" s="74">
        <f t="shared" si="4"/>
        <v>440</v>
      </c>
      <c r="O13" s="65"/>
      <c r="P13" s="65"/>
      <c r="Q13" s="74">
        <f t="shared" si="0"/>
        <v>440</v>
      </c>
      <c r="R13" s="74">
        <f t="shared" si="1"/>
        <v>415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156</v>
      </c>
      <c r="E14" s="189"/>
      <c r="F14" s="189"/>
      <c r="G14" s="74">
        <f t="shared" si="2"/>
        <v>156</v>
      </c>
      <c r="H14" s="65"/>
      <c r="I14" s="65"/>
      <c r="J14" s="74">
        <f t="shared" si="3"/>
        <v>156</v>
      </c>
      <c r="K14" s="65">
        <v>97</v>
      </c>
      <c r="L14" s="65">
        <v>9</v>
      </c>
      <c r="M14" s="65"/>
      <c r="N14" s="74">
        <f t="shared" si="4"/>
        <v>106</v>
      </c>
      <c r="O14" s="65"/>
      <c r="P14" s="65"/>
      <c r="Q14" s="74">
        <f t="shared" si="0"/>
        <v>106</v>
      </c>
      <c r="R14" s="74">
        <f t="shared" si="1"/>
        <v>50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2954</v>
      </c>
      <c r="E15" s="457">
        <v>2183</v>
      </c>
      <c r="F15" s="457">
        <v>4758</v>
      </c>
      <c r="G15" s="74">
        <f t="shared" si="2"/>
        <v>379</v>
      </c>
      <c r="H15" s="458"/>
      <c r="I15" s="458"/>
      <c r="J15" s="74">
        <f t="shared" si="3"/>
        <v>379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379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187</v>
      </c>
      <c r="E16" s="189"/>
      <c r="F16" s="189">
        <v>6</v>
      </c>
      <c r="G16" s="74">
        <f t="shared" si="2"/>
        <v>181</v>
      </c>
      <c r="H16" s="65"/>
      <c r="I16" s="65"/>
      <c r="J16" s="74">
        <f t="shared" si="3"/>
        <v>181</v>
      </c>
      <c r="K16" s="65">
        <v>47</v>
      </c>
      <c r="L16" s="65">
        <v>14</v>
      </c>
      <c r="M16" s="65">
        <v>5</v>
      </c>
      <c r="N16" s="74">
        <f t="shared" si="4"/>
        <v>56</v>
      </c>
      <c r="O16" s="65"/>
      <c r="P16" s="65"/>
      <c r="Q16" s="74">
        <f aca="true" t="shared" si="5" ref="Q16:Q25">N16+O16-P16</f>
        <v>56</v>
      </c>
      <c r="R16" s="74">
        <f aca="true" t="shared" si="6" ref="R16:R25">J16-Q16</f>
        <v>125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21628</v>
      </c>
      <c r="E17" s="194">
        <f>SUM(E9:E16)</f>
        <v>7388</v>
      </c>
      <c r="F17" s="194">
        <f>SUM(F9:F16)</f>
        <v>4884</v>
      </c>
      <c r="G17" s="74">
        <f t="shared" si="2"/>
        <v>24132</v>
      </c>
      <c r="H17" s="75">
        <f>SUM(H9:H16)</f>
        <v>0</v>
      </c>
      <c r="I17" s="75">
        <f>SUM(I9:I16)</f>
        <v>0</v>
      </c>
      <c r="J17" s="74">
        <f t="shared" si="3"/>
        <v>24132</v>
      </c>
      <c r="K17" s="75">
        <f>SUM(K9:K16)</f>
        <v>8112</v>
      </c>
      <c r="L17" s="75">
        <f>SUM(L9:L16)</f>
        <v>1008</v>
      </c>
      <c r="M17" s="75">
        <f>SUM(M9:M16)</f>
        <v>115</v>
      </c>
      <c r="N17" s="74">
        <f t="shared" si="4"/>
        <v>9005</v>
      </c>
      <c r="O17" s="75">
        <f>SUM(O9:O16)</f>
        <v>0</v>
      </c>
      <c r="P17" s="75">
        <f>SUM(P9:P16)</f>
        <v>0</v>
      </c>
      <c r="Q17" s="74">
        <f t="shared" si="5"/>
        <v>9005</v>
      </c>
      <c r="R17" s="74">
        <f t="shared" si="6"/>
        <v>15127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66</v>
      </c>
      <c r="E22" s="189">
        <v>2</v>
      </c>
      <c r="F22" s="189"/>
      <c r="G22" s="74">
        <f t="shared" si="2"/>
        <v>68</v>
      </c>
      <c r="H22" s="65"/>
      <c r="I22" s="65"/>
      <c r="J22" s="74">
        <f t="shared" si="3"/>
        <v>68</v>
      </c>
      <c r="K22" s="65">
        <v>54</v>
      </c>
      <c r="L22" s="65">
        <v>5</v>
      </c>
      <c r="M22" s="65"/>
      <c r="N22" s="74">
        <f t="shared" si="4"/>
        <v>59</v>
      </c>
      <c r="O22" s="65"/>
      <c r="P22" s="65"/>
      <c r="Q22" s="74">
        <f t="shared" si="5"/>
        <v>59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66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68</v>
      </c>
      <c r="H25" s="66">
        <f t="shared" si="7"/>
        <v>0</v>
      </c>
      <c r="I25" s="66">
        <f t="shared" si="7"/>
        <v>0</v>
      </c>
      <c r="J25" s="67">
        <f t="shared" si="3"/>
        <v>68</v>
      </c>
      <c r="K25" s="66">
        <f t="shared" si="7"/>
        <v>54</v>
      </c>
      <c r="L25" s="66">
        <f t="shared" si="7"/>
        <v>5</v>
      </c>
      <c r="M25" s="66">
        <f t="shared" si="7"/>
        <v>0</v>
      </c>
      <c r="N25" s="67">
        <f t="shared" si="4"/>
        <v>59</v>
      </c>
      <c r="O25" s="66">
        <f t="shared" si="7"/>
        <v>0</v>
      </c>
      <c r="P25" s="66">
        <f t="shared" si="7"/>
        <v>0</v>
      </c>
      <c r="Q25" s="67">
        <f t="shared" si="5"/>
        <v>59</v>
      </c>
      <c r="R25" s="67">
        <f t="shared" si="6"/>
        <v>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21694</v>
      </c>
      <c r="E40" s="438">
        <f>E17+E18+E19+E25+E38+E39</f>
        <v>7390</v>
      </c>
      <c r="F40" s="438">
        <f aca="true" t="shared" si="13" ref="F40:R40">F17+F18+F19+F25+F38+F39</f>
        <v>4884</v>
      </c>
      <c r="G40" s="438">
        <f t="shared" si="13"/>
        <v>24200</v>
      </c>
      <c r="H40" s="438">
        <f t="shared" si="13"/>
        <v>0</v>
      </c>
      <c r="I40" s="438">
        <f t="shared" si="13"/>
        <v>0</v>
      </c>
      <c r="J40" s="438">
        <f t="shared" si="13"/>
        <v>24200</v>
      </c>
      <c r="K40" s="438">
        <f t="shared" si="13"/>
        <v>8166</v>
      </c>
      <c r="L40" s="438">
        <f t="shared" si="13"/>
        <v>1013</v>
      </c>
      <c r="M40" s="438">
        <f t="shared" si="13"/>
        <v>115</v>
      </c>
      <c r="N40" s="438">
        <f t="shared" si="13"/>
        <v>9064</v>
      </c>
      <c r="O40" s="438">
        <f t="shared" si="13"/>
        <v>0</v>
      </c>
      <c r="P40" s="438">
        <f t="shared" si="13"/>
        <v>0</v>
      </c>
      <c r="Q40" s="438">
        <f t="shared" si="13"/>
        <v>9064</v>
      </c>
      <c r="R40" s="438">
        <f t="shared" si="13"/>
        <v>15136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4"/>
      <c r="L44" s="614"/>
      <c r="M44" s="614"/>
      <c r="N44" s="614"/>
      <c r="O44" s="603" t="s">
        <v>782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55">
      <selection activeCell="AE88" sqref="AE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1" t="str">
        <f>'справка №1-БАЛАНС'!E3</f>
        <v>"КОРАДО-БЪЛГАРИЯ" ГР.СТРАЖИЦА</v>
      </c>
      <c r="C3" s="622"/>
      <c r="D3" s="526" t="s">
        <v>2</v>
      </c>
      <c r="E3" s="107">
        <f>'справка №1-БАЛАНС'!H3</f>
        <v>814190902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31,12,2016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37</v>
      </c>
      <c r="D16" s="119">
        <f>+D17+D18</f>
        <v>0</v>
      </c>
      <c r="E16" s="120">
        <f t="shared" si="0"/>
        <v>37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37</v>
      </c>
      <c r="D18" s="108"/>
      <c r="E18" s="120">
        <f t="shared" si="0"/>
        <v>37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</v>
      </c>
      <c r="D19" s="104">
        <f>D11+D15+D16</f>
        <v>0</v>
      </c>
      <c r="E19" s="118">
        <f>E11+E15+E16</f>
        <v>37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1662</v>
      </c>
      <c r="D24" s="119">
        <f>SUM(D25:D27)</f>
        <v>1662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1662</v>
      </c>
      <c r="D26" s="108">
        <v>1662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905</v>
      </c>
      <c r="D28" s="108">
        <v>905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840</v>
      </c>
      <c r="D33" s="105">
        <f>SUM(D34:D37)</f>
        <v>840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840</v>
      </c>
      <c r="D35" s="108">
        <v>840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3407</v>
      </c>
      <c r="D43" s="104">
        <f>D24+D28+D29+D31+D30+D32+D33+D38</f>
        <v>3407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3444</v>
      </c>
      <c r="D44" s="103">
        <f>D43+D21+D19+D9</f>
        <v>3407</v>
      </c>
      <c r="E44" s="118">
        <f>E43+E21+E19+E9</f>
        <v>37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4182</v>
      </c>
      <c r="D64" s="108"/>
      <c r="E64" s="119">
        <f t="shared" si="1"/>
        <v>4182</v>
      </c>
      <c r="F64" s="110"/>
    </row>
    <row r="65" spans="1:6" ht="12">
      <c r="A65" s="396" t="s">
        <v>710</v>
      </c>
      <c r="B65" s="397" t="s">
        <v>711</v>
      </c>
      <c r="C65" s="109">
        <v>144</v>
      </c>
      <c r="D65" s="109"/>
      <c r="E65" s="119">
        <f t="shared" si="1"/>
        <v>144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4182</v>
      </c>
      <c r="D66" s="103">
        <f>D52+D56+D61+D62+D63+D64</f>
        <v>0</v>
      </c>
      <c r="E66" s="119">
        <f t="shared" si="1"/>
        <v>4182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9</v>
      </c>
      <c r="D74" s="108">
        <v>9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92</v>
      </c>
      <c r="D80" s="103">
        <f>SUM(D81:D84)</f>
        <v>92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92</v>
      </c>
      <c r="D84" s="108">
        <v>92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3147</v>
      </c>
      <c r="D85" s="104">
        <f>SUM(D86:D90)+D94</f>
        <v>3147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2776</v>
      </c>
      <c r="D87" s="108">
        <v>2776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242</v>
      </c>
      <c r="D89" s="108">
        <v>242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28</v>
      </c>
      <c r="D90" s="103">
        <f>SUM(D91:D93)</f>
        <v>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28</v>
      </c>
      <c r="D93" s="108">
        <v>28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101</v>
      </c>
      <c r="D94" s="108">
        <v>101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476</v>
      </c>
      <c r="D95" s="108">
        <v>476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3724</v>
      </c>
      <c r="D96" s="104">
        <f>D85+D80+D75+D71+D95</f>
        <v>3724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7906</v>
      </c>
      <c r="D97" s="104">
        <f>D96+D68+D66</f>
        <v>3724</v>
      </c>
      <c r="E97" s="104">
        <f>E96+E68+E66</f>
        <v>4182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868</v>
      </c>
      <c r="B109" s="616"/>
      <c r="C109" s="616" t="s">
        <v>382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Q36" sqref="Q3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"КОРАДО-БЪЛГАРИЯ" ГР.СТРАЖИЦА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814190902</v>
      </c>
    </row>
    <row r="5" spans="1:9" ht="15">
      <c r="A5" s="501" t="s">
        <v>5</v>
      </c>
      <c r="B5" s="624" t="str">
        <f>'справка №1-БАЛАНС'!E5</f>
        <v>31,12,2016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1">
      <selection activeCell="E159" sqref="E15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tr">
        <f>'справка №1-БАЛАНС'!E3</f>
        <v>"КОРАДО-БЪЛГАРИЯ" ГР.СТРАЖИЦА</v>
      </c>
      <c r="C5" s="630"/>
      <c r="D5" s="630"/>
      <c r="E5" s="570" t="s">
        <v>2</v>
      </c>
      <c r="F5" s="451">
        <f>'справка №1-БАЛАНС'!H3</f>
        <v>814190902</v>
      </c>
    </row>
    <row r="6" spans="1:13" ht="15" customHeight="1">
      <c r="A6" s="27" t="s">
        <v>823</v>
      </c>
      <c r="B6" s="631" t="str">
        <f>'справка №1-БАЛАНС'!E5</f>
        <v>31,12,2016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2" t="s">
        <v>850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858</v>
      </c>
      <c r="D153" s="632"/>
      <c r="E153" s="632"/>
      <c r="F153" s="632"/>
    </row>
    <row r="154" spans="3:5" ht="12.75">
      <c r="C154" s="517"/>
      <c r="E154" s="517"/>
    </row>
    <row r="156" ht="12.75">
      <c r="A156" s="509" t="s">
        <v>159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b8baysne</cp:lastModifiedBy>
  <cp:lastPrinted>2017-01-28T12:51:22Z</cp:lastPrinted>
  <dcterms:created xsi:type="dcterms:W3CDTF">2000-06-29T12:02:40Z</dcterms:created>
  <dcterms:modified xsi:type="dcterms:W3CDTF">2017-01-30T11:04:20Z</dcterms:modified>
  <cp:category/>
  <cp:version/>
  <cp:contentType/>
  <cp:contentStatus/>
</cp:coreProperties>
</file>