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7640" tabRatio="93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доходите'!$A$1:$H$58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<sst xmlns="http://schemas.openxmlformats.org/spreadsheetml/2006/main" count="4191" uniqueCount="977">
  <si>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</si>
  <si>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</si>
  <si>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</si>
  <si>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</si>
  <si>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</si>
  <si>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</si>
  <si>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</si>
  <si>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</si>
  <si>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</si>
  <si>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</si>
  <si>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</si>
  <si>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</si>
  <si>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</si>
  <si>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</si>
  <si>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</si>
  <si>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</si>
  <si>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</si>
  <si>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</si>
  <si>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</si>
  <si>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</si>
  <si>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</si>
  <si>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</si>
  <si>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</si>
  <si>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</si>
  <si>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</si>
  <si>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</si>
  <si>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</si>
  <si>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</si>
  <si>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</si>
  <si>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</si>
  <si>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</si>
  <si>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</si>
  <si>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</si>
  <si>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</si>
  <si>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</si>
  <si>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</si>
  <si>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</si>
  <si>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</si>
  <si>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</si>
  <si>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</si>
  <si>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</si>
  <si>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</si>
  <si>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</si>
  <si>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</si>
  <si>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</si>
  <si>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</si>
  <si>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</si>
  <si>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</si>
  <si>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</si>
  <si>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</si>
  <si>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</si>
  <si>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</si>
  <si>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</si>
  <si>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</si>
  <si>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</si>
  <si>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</si>
  <si>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</si>
  <si>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</si>
  <si>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</si>
  <si>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</si>
  <si>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</si>
  <si>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</si>
  <si>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</si>
  <si>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</si>
  <si>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</si>
  <si>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</si>
  <si>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</si>
  <si>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</si>
  <si>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</si>
  <si>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</si>
  <si>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</si>
  <si>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</si>
  <si>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</si>
  <si>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</si>
  <si>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</si>
  <si>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</si>
  <si>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</si>
  <si>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</si>
  <si>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</si>
  <si>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</si>
  <si>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</si>
  <si>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</si>
  <si>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</si>
  <si>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</si>
  <si>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</si>
  <si>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</si>
  <si>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</si>
  <si>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</si>
  <si>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</si>
  <si>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</si>
  <si>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</si>
  <si>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</si>
  <si>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</si>
  <si>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</si>
  <si>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</si>
  <si>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</si>
  <si>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</si>
  <si>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</si>
  <si>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</si>
  <si>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</si>
  <si>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</si>
  <si>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</si>
  <si>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</si>
  <si>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</si>
  <si>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</si>
  <si>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</si>
  <si>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</si>
  <si>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</si>
  <si>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</si>
  <si>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</si>
  <si>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</si>
  <si>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</si>
  <si>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</si>
  <si>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</si>
  <si>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</si>
  <si>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</si>
  <si>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</si>
  <si>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</si>
  <si>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</si>
  <si>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</si>
  <si>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</si>
  <si>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</si>
  <si>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</si>
  <si>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</si>
  <si>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</si>
  <si>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</si>
  <si>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</si>
  <si>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</si>
  <si>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</si>
  <si>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</si>
  <si>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</si>
  <si>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</si>
  <si>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</si>
  <si>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</si>
  <si>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</si>
  <si>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</si>
  <si>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</si>
  <si>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</si>
  <si>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</si>
  <si>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</si>
  <si>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</si>
  <si>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</si>
  <si>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</si>
  <si>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</si>
  <si>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</si>
  <si>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</si>
  <si>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</si>
  <si>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</si>
  <si>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</si>
  <si>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</si>
  <si>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</si>
  <si>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</si>
  <si>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</si>
  <si>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</si>
  <si>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</si>
  <si>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</si>
  <si>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</si>
  <si>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</si>
  <si>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</si>
  <si>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</si>
  <si>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</si>
  <si>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</si>
  <si>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</si>
  <si>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</si>
  <si>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</si>
  <si>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</si>
  <si>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</si>
  <si>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</si>
  <si>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</si>
  <si>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</si>
  <si>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</si>
  <si>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</si>
  <si>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</si>
  <si>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</si>
  <si>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</si>
  <si>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</si>
  <si>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</si>
  <si>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</si>
  <si>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</si>
  <si>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</si>
  <si>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</si>
  <si>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</si>
  <si>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</si>
  <si>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</si>
  <si>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</si>
  <si>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</si>
  <si>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</si>
  <si>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</si>
  <si>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</si>
  <si>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</si>
  <si>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</si>
  <si>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</si>
  <si>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</si>
  <si>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</si>
  <si>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</si>
  <si>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</si>
  <si>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</si>
  <si>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</si>
  <si>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</si>
  <si>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</si>
  <si>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</si>
  <si>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</si>
  <si>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</si>
  <si>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</si>
  <si>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</si>
  <si>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</si>
  <si>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</si>
  <si>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</si>
  <si>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</si>
  <si>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</si>
  <si>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</si>
  <si>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</si>
  <si>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</si>
  <si>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</si>
  <si>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</si>
  <si>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</si>
  <si>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</si>
  <si>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</si>
  <si>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</si>
  <si>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</si>
  <si>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</si>
  <si>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</si>
  <si>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</si>
  <si>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</si>
  <si>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</si>
  <si>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</si>
  <si>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</si>
  <si>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</si>
  <si>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</si>
  <si>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</si>
  <si>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</si>
  <si>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</si>
  <si>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</si>
  <si>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</si>
  <si>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</si>
  <si>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</si>
  <si>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</si>
  <si>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</si>
  <si>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</si>
  <si>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</si>
  <si>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</si>
  <si>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</si>
  <si>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</si>
  <si>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</si>
  <si>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</si>
  <si>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</si>
  <si>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</si>
  <si>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</si>
  <si>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</si>
  <si>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</si>
  <si>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</si>
  <si>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</si>
  <si>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</si>
  <si>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</si>
  <si>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</si>
  <si>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</si>
  <si>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</si>
  <si>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</si>
  <si>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</si>
  <si>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</si>
  <si>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</si>
  <si>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</si>
  <si>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</si>
  <si>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</si>
  <si>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</si>
  <si>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</si>
  <si>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</si>
  <si>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</si>
  <si>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</si>
  <si>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</si>
  <si>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</si>
  <si>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</si>
  <si>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</si>
  <si>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</si>
  <si>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</si>
  <si>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</si>
  <si>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</si>
  <si>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</si>
  <si>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</si>
  <si>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</si>
  <si>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</si>
  <si>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</si>
  <si>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</si>
  <si>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</si>
  <si>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</si>
  <si>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</si>
  <si>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</si>
  <si>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</si>
  <si>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</si>
  <si>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</si>
  <si>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</si>
  <si>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</si>
  <si>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</si>
  <si>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</si>
  <si>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</si>
  <si>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</si>
  <si>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</si>
  <si>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</si>
  <si>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</si>
  <si>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</si>
  <si>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</si>
  <si>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</si>
  <si>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</si>
  <si>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</si>
  <si>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</si>
  <si>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</si>
  <si>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</si>
  <si>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</si>
  <si>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</si>
  <si>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</si>
  <si>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</si>
  <si>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</si>
  <si>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</si>
  <si>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</si>
  <si>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</si>
  <si>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</si>
  <si>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</si>
  <si>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</si>
  <si>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</si>
  <si>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</si>
  <si>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</si>
  <si>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</si>
  <si>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</si>
  <si>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</si>
  <si>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</si>
  <si>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</si>
  <si>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</si>
  <si>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</si>
  <si>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</si>
  <si>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</si>
  <si>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</si>
  <si>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</si>
  <si>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</si>
  <si>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</si>
  <si>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</si>
  <si>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</si>
  <si>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</si>
  <si>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</si>
  <si>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</si>
  <si>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</si>
  <si>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</si>
  <si>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</si>
  <si>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</si>
  <si>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</si>
  <si>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</si>
  <si>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</si>
  <si>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</si>
  <si>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</si>
  <si>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</si>
  <si>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</si>
  <si>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</si>
  <si>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</si>
  <si>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</si>
  <si>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</si>
  <si>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</si>
  <si>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</si>
  <si>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</si>
  <si>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</si>
  <si>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</si>
  <si>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</si>
  <si>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</si>
  <si>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</si>
  <si>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</si>
  <si>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</si>
  <si>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</si>
  <si>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</si>
  <si>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</si>
  <si>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</si>
  <si>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</si>
  <si>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</si>
  <si>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</si>
  <si>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</si>
  <si>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</si>
  <si>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</si>
  <si>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</si>
  <si>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</si>
  <si>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</si>
  <si>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</si>
  <si>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</si>
  <si>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</si>
  <si>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</si>
  <si>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</si>
  <si>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</si>
  <si>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</si>
  <si>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</si>
  <si>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</si>
  <si>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</si>
  <si>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</si>
  <si>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</si>
  <si>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</si>
  <si>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</si>
  <si>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</si>
  <si>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</si>
  <si>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</si>
  <si>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</si>
  <si>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</si>
  <si>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</si>
  <si>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</si>
  <si>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</si>
  <si>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</si>
  <si>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</si>
  <si>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</si>
  <si>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</si>
  <si>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</si>
  <si>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</si>
  <si>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</si>
  <si>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</si>
  <si>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</si>
  <si>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</si>
  <si>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</si>
  <si>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</si>
  <si>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</si>
  <si>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</si>
  <si>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</si>
  <si>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</si>
  <si>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</si>
  <si>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</si>
  <si>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</si>
  <si>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</si>
  <si>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</si>
  <si>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</si>
  <si>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</si>
  <si>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</si>
  <si>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</si>
  <si>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</si>
  <si>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</si>
  <si>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</si>
  <si>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</si>
  <si>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</si>
  <si>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</si>
  <si>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</si>
  <si>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</si>
  <si>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</si>
  <si>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</si>
  <si>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</si>
  <si>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</si>
  <si>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</si>
  <si>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</si>
  <si>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</si>
  <si>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</si>
  <si>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</si>
  <si>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</si>
  <si>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</si>
  <si>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</si>
  <si>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</si>
  <si>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</si>
  <si>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</si>
  <si>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</si>
  <si>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</si>
  <si>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</si>
  <si>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</si>
  <si>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</si>
  <si>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</si>
  <si>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</si>
  <si>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</si>
  <si>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</si>
  <si>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</si>
  <si>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</si>
  <si>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</si>
  <si>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</si>
  <si>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</si>
  <si>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</si>
  <si>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</si>
  <si>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</si>
  <si>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</si>
  <si>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</si>
  <si>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</si>
  <si>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</si>
  <si>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</si>
  <si>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</si>
  <si>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</si>
  <si>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</si>
  <si>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</si>
  <si>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</si>
  <si>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</si>
  <si>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</si>
  <si>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</si>
  <si>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</si>
  <si>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</si>
  <si>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</si>
  <si>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</si>
  <si>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</si>
  <si>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</si>
  <si>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</si>
  <si>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</si>
  <si>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</si>
  <si>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</si>
  <si>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</si>
  <si>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</si>
  <si>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</si>
  <si>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</si>
  <si>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</si>
  <si>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</si>
  <si>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</si>
  <si>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</si>
  <si>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</si>
  <si>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</si>
  <si>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</si>
  <si>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</si>
  <si>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</si>
  <si>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</si>
  <si>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</si>
  <si>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</si>
  <si>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</si>
  <si>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</si>
  <si>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</si>
  <si>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</si>
  <si>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</si>
  <si>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</si>
  <si>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</si>
  <si>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</si>
  <si>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</si>
  <si>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</si>
  <si>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</si>
  <si>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</si>
  <si>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</si>
  <si>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</si>
  <si>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</si>
  <si>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</si>
  <si>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</si>
  <si>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</si>
  <si>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</si>
  <si>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</si>
  <si>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</si>
  <si>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</si>
  <si>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</si>
  <si>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</si>
  <si>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</si>
  <si>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</si>
  <si>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</si>
  <si>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</si>
  <si>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</si>
  <si>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</si>
  <si>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</si>
  <si>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</si>
  <si>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</si>
  <si>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</si>
  <si>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</si>
  <si>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</si>
  <si>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</si>
  <si>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</si>
  <si>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</si>
  <si>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</si>
  <si>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</si>
  <si>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</si>
  <si>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</si>
  <si>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</si>
  <si>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</si>
  <si>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</si>
  <si>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</si>
  <si>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</si>
  <si>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</si>
  <si>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</si>
  <si>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</si>
  <si>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</si>
  <si>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</si>
  <si>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</si>
  <si>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</si>
  <si>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</si>
  <si>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</si>
  <si>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</si>
  <si>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</si>
  <si>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</si>
  <si>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</si>
  <si>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</si>
  <si>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</si>
  <si>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</si>
  <si>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</si>
  <si>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</si>
  <si>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</si>
  <si>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</si>
  <si>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</si>
  <si>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</si>
  <si>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</si>
  <si>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</si>
  <si>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</si>
  <si>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</si>
  <si>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</si>
  <si>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</si>
  <si>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</si>
  <si>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</si>
  <si>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</si>
  <si>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</si>
  <si>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</si>
  <si>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</si>
  <si>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</si>
  <si>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</si>
  <si>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</si>
  <si>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</si>
  <si>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</si>
  <si>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</si>
  <si>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</si>
  <si>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</si>
  <si>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</si>
  <si>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</si>
  <si>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</si>
  <si>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</si>
  <si>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</si>
  <si>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</si>
  <si>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</si>
  <si>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</si>
  <si>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</si>
  <si>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</si>
  <si>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</si>
  <si>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</si>
  <si>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</si>
  <si>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</si>
  <si>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</si>
  <si>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</si>
  <si>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</si>
  <si>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</si>
  <si>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</si>
  <si>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</si>
  <si>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</si>
  <si>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</si>
  <si>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</si>
  <si>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</si>
  <si>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</si>
  <si>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</si>
  <si>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</si>
  <si>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</si>
  <si>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</si>
  <si>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</si>
  <si>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</si>
  <si>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</si>
  <si>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</si>
  <si>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</si>
  <si>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</si>
  <si>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</si>
  <si>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</si>
  <si>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</si>
  <si>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</si>
  <si>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</si>
  <si>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</si>
  <si>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</si>
  <si>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</si>
  <si>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</si>
  <si>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</si>
  <si>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</si>
  <si>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</si>
  <si>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</si>
  <si>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</si>
  <si>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</si>
  <si>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</si>
  <si>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</si>
  <si>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</si>
  <si>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</si>
  <si>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</si>
  <si>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</si>
  <si>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</si>
  <si>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</si>
  <si>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</si>
  <si>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</si>
  <si>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</si>
  <si>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</si>
  <si>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</si>
  <si>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</si>
  <si>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</si>
  <si>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</si>
  <si>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</si>
  <si>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</si>
  <si>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</si>
  <si>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</si>
  <si>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</si>
  <si>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</si>
  <si>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</si>
  <si>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</si>
  <si>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</si>
  <si>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</si>
  <si>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</si>
  <si>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</si>
  <si>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</si>
  <si>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</si>
  <si>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</si>
  <si>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</si>
  <si>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</si>
  <si>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</si>
  <si>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</si>
  <si>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</si>
  <si>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</si>
  <si>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</si>
  <si>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</si>
  <si>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</si>
  <si>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</si>
  <si>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</si>
  <si>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</si>
  <si>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</si>
  <si>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</si>
  <si>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</si>
  <si>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</si>
  <si>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</si>
  <si>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</si>
  <si>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</si>
  <si>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</si>
  <si>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</si>
  <si>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</si>
  <si>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</si>
  <si>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</si>
  <si>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</si>
  <si>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</si>
  <si>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</si>
  <si>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</si>
  <si>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</si>
  <si>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</si>
  <si>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</si>
  <si>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</si>
  <si>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</si>
  <si>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</si>
  <si>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</si>
  <si>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</si>
  <si>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</si>
  <si>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</si>
  <si>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</si>
  <si>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</si>
  <si>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</si>
  <si>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</si>
  <si>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</si>
  <si>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</si>
  <si>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</si>
  <si>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</si>
  <si>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</si>
  <si>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</si>
  <si>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</si>
  <si>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</si>
  <si>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</si>
  <si>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</si>
  <si>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</si>
  <si>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</si>
  <si>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</si>
  <si>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</si>
  <si>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</si>
  <si>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</si>
  <si>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</si>
  <si>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</si>
  <si>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</si>
  <si>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</si>
  <si>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</si>
  <si>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</si>
  <si>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</si>
  <si>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</si>
  <si>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</si>
  <si>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</si>
  <si>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</si>
  <si>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</si>
  <si>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</si>
  <si>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</si>
  <si>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</si>
  <si>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</si>
  <si>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</si>
  <si>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</si>
  <si>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</si>
  <si>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</si>
  <si>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</si>
  <si>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</si>
  <si>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</si>
  <si>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</si>
  <si>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</si>
  <si>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</si>
  <si>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</si>
  <si>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</si>
  <si>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</si>
  <si>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</si>
  <si>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</si>
  <si>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</si>
  <si>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</si>
  <si>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</si>
  <si>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</si>
  <si>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</si>
  <si>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</si>
  <si>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</si>
  <si>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</si>
  <si>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</si>
  <si>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</si>
  <si>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</si>
  <si>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</si>
  <si>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</si>
  <si>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</si>
  <si>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</si>
  <si>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</si>
  <si>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</si>
  <si>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</si>
  <si>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</si>
  <si>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</si>
  <si>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</si>
  <si>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</si>
  <si>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</si>
  <si>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</si>
  <si>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</si>
  <si>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</si>
  <si>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</si>
  <si>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</si>
  <si>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</si>
  <si>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</si>
  <si>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</si>
  <si>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</si>
  <si>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</si>
  <si>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</si>
  <si>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</si>
  <si>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</si>
  <si>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</si>
  <si>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</si>
  <si>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</si>
  <si>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</si>
  <si>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</si>
  <si>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</si>
  <si>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</si>
  <si>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</si>
  <si>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</si>
  <si>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</si>
  <si>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</si>
  <si>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</si>
  <si>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</si>
  <si>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</si>
  <si>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</si>
  <si>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</si>
  <si>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</si>
  <si>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</si>
  <si>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</si>
  <si>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</si>
  <si>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</si>
  <si>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</si>
  <si>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</si>
  <si>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</si>
  <si>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</si>
  <si>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</si>
  <si>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</si>
  <si>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</si>
  <si>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</si>
  <si>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</si>
  <si>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</si>
  <si>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</si>
  <si>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</si>
  <si>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</si>
  <si>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</si>
  <si>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</si>
  <si>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</si>
  <si>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</si>
  <si>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</si>
  <si>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</si>
  <si>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</si>
  <si>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</si>
  <si>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</si>
  <si>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</si>
  <si>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</si>
  <si>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</si>
  <si>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</si>
  <si>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</si>
  <si>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</si>
  <si>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</si>
  <si>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</si>
  <si>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</si>
  <si>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</si>
  <si>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</si>
  <si>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</si>
  <si>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</si>
  <si>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</si>
  <si>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</si>
  <si>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</si>
  <si>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</si>
  <si>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</si>
  <si>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</si>
  <si>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</si>
  <si>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</si>
  <si>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</si>
  <si>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</si>
  <si>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</si>
  <si>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</si>
  <si>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</si>
  <si>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</si>
  <si>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</si>
  <si>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</si>
  <si>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</si>
  <si>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</si>
  <si>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</si>
  <si>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</si>
  <si>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</si>
  <si>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</si>
  <si>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</si>
  <si>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</si>
  <si>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</si>
  <si>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</si>
  <si>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</si>
  <si>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</si>
  <si>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</si>
  <si>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</si>
  <si>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</si>
  <si>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</si>
  <si>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</si>
  <si>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</si>
  <si>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</si>
  <si>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</si>
  <si>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</si>
  <si>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</si>
  <si>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</si>
  <si>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</si>
  <si>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</si>
  <si>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</si>
  <si>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</si>
  <si>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</si>
  <si>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</si>
  <si>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</si>
  <si>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</si>
  <si>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</si>
  <si>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</si>
  <si>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</si>
  <si>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</si>
  <si>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</si>
  <si>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</si>
  <si>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</si>
  <si>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</si>
  <si>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</si>
  <si>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</si>
  <si>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</si>
  <si>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</si>
  <si>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</si>
  <si>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</si>
  <si>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</si>
  <si>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</si>
  <si>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</si>
  <si>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</si>
  <si>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</si>
  <si>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</si>
  <si>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</si>
  <si>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</si>
  <si>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</si>
  <si>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</si>
  <si>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</si>
  <si>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</si>
  <si>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</si>
  <si>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</si>
  <si>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</si>
  <si>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</si>
  <si>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</si>
  <si>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</si>
  <si>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</si>
  <si>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</si>
  <si>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</si>
  <si>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</si>
  <si>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</si>
  <si>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</si>
  <si>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</si>
  <si>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</si>
  <si>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</si>
  <si>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</si>
  <si>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</si>
  <si>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</si>
  <si>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</si>
  <si>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</si>
  <si>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</si>
  <si>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</si>
  <si>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</si>
  <si>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</si>
  <si>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</si>
  <si>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</si>
  <si>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</si>
  <si>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</si>
  <si>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</si>
  <si>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</si>
  <si>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</si>
  <si>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</si>
  <si>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</si>
  <si>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</si>
  <si>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</si>
  <si>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</si>
  <si>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</si>
  <si>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</si>
  <si>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</si>
  <si>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</si>
  <si>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</si>
  <si>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</si>
  <si>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</si>
  <si>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</si>
  <si>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</si>
  <si>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</si>
  <si>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</si>
  <si>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Р.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</si>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</sst>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65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65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3" fillId="0" borderId="49" xfId="45" applyNumberFormat="1" applyFont="1" applyFill="1" applyBorder="1" applyAlignment="1" applyProtection="1">
      <alignment horizontal="centerContinuous"/>
      <protection/>
    </xf>
    <xf numFmtId="0" fontId="74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3" fillId="0" borderId="49" xfId="45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74" applyNumberFormat="1" applyFont="1" applyFill="1" applyBorder="1" applyAlignment="1" applyProtection="1">
      <alignment/>
      <protection locked="0"/>
    </xf>
    <xf numFmtId="49" fontId="75" fillId="35" borderId="11" xfId="74" applyNumberFormat="1" applyFont="1" applyFill="1" applyBorder="1" applyAlignment="1" applyProtection="1">
      <alignment/>
      <protection locked="0"/>
    </xf>
    <xf numFmtId="49" fontId="75" fillId="35" borderId="14" xfId="74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43889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Р.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43889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0.031130280350120512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0.012848503887536323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0.010317860746720484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0.0052217765530742305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1.0014968966776197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1.3236678125278623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1.2995353813538333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0.37884746837324035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0.05626937974896724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0.28294437305729236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0.16773946441680587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0.4175063740499921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1.2452682007382392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0.5060910087136002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8400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0.0439802089059923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0.18500966060296745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15.62167487684729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45645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96972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43330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348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7787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25443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2805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222330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34373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14342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120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5005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19467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38332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38332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3731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3731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3736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7467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12296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12296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2075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336340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1792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222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257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165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2436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3229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50703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38967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38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92937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32562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32562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5680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5680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133615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469955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156845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1971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1971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158816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23239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23239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2454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25693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190995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41120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95691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637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36447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3239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136014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883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136897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14017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13607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72398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232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36941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31475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3177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573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921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100943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100943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469955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10733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22501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6825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23160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3909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2700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539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3501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73868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8277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25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8302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82170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123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82170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123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512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697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-246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61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2454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82682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237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6478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62998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9117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78830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2505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958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3463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82293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82293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389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2843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82682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82717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-42200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-25644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-4978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-106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9789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-24376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5921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-24148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10032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872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-52776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26985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12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1083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-56395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44998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77643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-67319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-855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-8430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-18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46019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-587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6267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5680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1250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43602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156845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156845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3406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3406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-1435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1971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1971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24192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24192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2454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-953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25693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25693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146077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146077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2454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42464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190995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190995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43893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43893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-2843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70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41120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41120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50596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97811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72483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1654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13534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32978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651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269707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30349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13715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1865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8739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24319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26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26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1975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2001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38332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364708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6'!F11</f>
        <v>4951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6'!F12</f>
        <v>5974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3771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6'!F15</f>
        <v>239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1641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21501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2994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45188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6298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682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47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334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1063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3722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3722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1761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5483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58032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2969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119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29036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43288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2274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3184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3184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17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17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17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48763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45645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107043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73285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1490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15056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25443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3645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271607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34373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14397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1912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5889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22198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3731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3731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3736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7467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38332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373977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45645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107043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73285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1490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15056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25443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3645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271607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34373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14397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1912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5889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22198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3731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3731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3736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7467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38332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373977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8683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29147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1271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5949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430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45480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1708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3937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5697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51177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1391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3250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156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1776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410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6983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3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84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119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206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7189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3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2442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285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456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3186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3172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3172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6358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10071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29955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1142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7269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840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49277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55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1792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884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2731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52008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10071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29955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1142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7269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840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49277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55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1792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884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2731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52008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45645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96972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43330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348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7787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25443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2805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222330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34373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14342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120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5005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19467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3731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3731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3736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7467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38332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321969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12293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12293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3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3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12296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2075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3229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2919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310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42577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8126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38967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38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38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92937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107308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3229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2919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310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42577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8126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38967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38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38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92937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92937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12293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12293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12296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2075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14371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95691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95691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637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36447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3239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133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136014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883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232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232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14017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14017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13607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13607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72166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36941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31475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3177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573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573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921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100943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237840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232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232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14017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14017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13607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13607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72166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36941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31475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3177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573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573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921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100943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100943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95691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95691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637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36447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3239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133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136014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883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136897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32562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32562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32562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32562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100" zoomScalePageLayoutView="0" workbookViewId="0" topLeftCell="A66">
      <selection activeCell="G95" sqref="G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+'Справка 6'!R11</f>
        <v>45645</v>
      </c>
      <c r="D12" s="187">
        <v>50596</v>
      </c>
      <c r="E12" s="84" t="s">
        <v>25</v>
      </c>
      <c r="F12" s="87" t="s">
        <v>26</v>
      </c>
      <c r="G12" s="188">
        <v>6486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+'Справка 6'!R12</f>
        <v>96972</v>
      </c>
      <c r="D13" s="187">
        <v>89128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+'Справка 6'!R13</f>
        <v>43330</v>
      </c>
      <c r="D14" s="187">
        <v>43336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+'Справка 6'!R15</f>
        <v>348</v>
      </c>
      <c r="D16" s="187">
        <v>383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+'Справка 6'!R16</f>
        <v>7787</v>
      </c>
      <c r="D17" s="187">
        <v>7585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+'Справка 6'!R17</f>
        <v>25443</v>
      </c>
      <c r="D18" s="187">
        <v>32978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+'Справка 6'!R18</f>
        <v>2805</v>
      </c>
      <c r="D19" s="187">
        <v>221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222330</v>
      </c>
      <c r="D20" s="565">
        <f>SUM(D12:D19)</f>
        <v>224227</v>
      </c>
      <c r="E20" s="84" t="s">
        <v>54</v>
      </c>
      <c r="F20" s="87" t="s">
        <v>55</v>
      </c>
      <c r="G20" s="188">
        <f>+'4-Отчет за собствения капитал'!D34</f>
        <v>156845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+'Справка 6'!R20</f>
        <v>34373</v>
      </c>
      <c r="D21" s="463">
        <v>30349</v>
      </c>
      <c r="E21" s="84" t="s">
        <v>58</v>
      </c>
      <c r="F21" s="87" t="s">
        <v>59</v>
      </c>
      <c r="G21" s="188">
        <f>'4-Отчет за собствения капитал'!E34</f>
        <v>0</v>
      </c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1971</v>
      </c>
      <c r="H22" s="581">
        <f>SUM(H23:H25)</f>
        <v>3406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+'Справка 6'!R23</f>
        <v>14342</v>
      </c>
      <c r="D24" s="187">
        <v>13663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+'Справка 6'!R24</f>
        <v>120</v>
      </c>
      <c r="D25" s="187">
        <v>157</v>
      </c>
      <c r="E25" s="84" t="s">
        <v>73</v>
      </c>
      <c r="F25" s="87" t="s">
        <v>74</v>
      </c>
      <c r="G25" s="188">
        <f>+'4-Отчет за собствения капитал'!H34</f>
        <v>1971</v>
      </c>
      <c r="H25" s="187">
        <v>3406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158816</v>
      </c>
      <c r="H26" s="565">
        <f>H20+H21+H22</f>
        <v>116649</v>
      </c>
      <c r="M26" s="92"/>
    </row>
    <row r="27" spans="1:8" ht="15.75">
      <c r="A27" s="84" t="s">
        <v>79</v>
      </c>
      <c r="B27" s="86" t="s">
        <v>80</v>
      </c>
      <c r="C27" s="188">
        <f>+'Справка 6'!R26</f>
        <v>5005</v>
      </c>
      <c r="D27" s="187">
        <f>4003+799</f>
        <v>4802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19467</v>
      </c>
      <c r="D28" s="565">
        <f>SUM(D24:D27)</f>
        <v>18622</v>
      </c>
      <c r="E28" s="193" t="s">
        <v>84</v>
      </c>
      <c r="F28" s="87" t="s">
        <v>85</v>
      </c>
      <c r="G28" s="562">
        <f>SUM(G29:G31)</f>
        <v>23239</v>
      </c>
      <c r="H28" s="563">
        <f>SUM(H29:H31)</f>
        <v>29049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+'4-Отчет за собствения капитал'!I34-'4-Отчет за собствения капитал'!I18</f>
        <v>23239</v>
      </c>
      <c r="H29" s="187">
        <v>29049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+'Справка 6'!R41</f>
        <v>38332</v>
      </c>
      <c r="D31" s="187">
        <v>38332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+'2-Отчет за доходите'!C44</f>
        <v>2454</v>
      </c>
      <c r="H32" s="187">
        <v>-4857</v>
      </c>
      <c r="M32" s="92"/>
    </row>
    <row r="33" spans="1:8" ht="15.75">
      <c r="A33" s="468" t="s">
        <v>99</v>
      </c>
      <c r="B33" s="91" t="s">
        <v>100</v>
      </c>
      <c r="C33" s="564">
        <f>C31+C32</f>
        <v>38332</v>
      </c>
      <c r="D33" s="565">
        <f>D31+D32</f>
        <v>38332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25693</v>
      </c>
      <c r="H34" s="565">
        <f>H28+H32+H33</f>
        <v>24192</v>
      </c>
    </row>
    <row r="35" spans="1:8" ht="15.75">
      <c r="A35" s="84" t="s">
        <v>106</v>
      </c>
      <c r="B35" s="88" t="s">
        <v>107</v>
      </c>
      <c r="C35" s="562">
        <f>SUM(C36:C39)</f>
        <v>3731</v>
      </c>
      <c r="D35" s="563">
        <f>SUM(D36:D39)</f>
        <v>26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190995</v>
      </c>
      <c r="H37" s="567">
        <f>H26+H18+H34</f>
        <v>146077</v>
      </c>
    </row>
    <row r="38" spans="1:13" ht="15.75">
      <c r="A38" s="84" t="s">
        <v>113</v>
      </c>
      <c r="B38" s="86" t="s">
        <v>114</v>
      </c>
      <c r="C38" s="188">
        <f>+'Справка 6'!R29</f>
        <v>3731</v>
      </c>
      <c r="D38" s="187">
        <v>26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f>+'4-Отчет за собствения капитал'!M34</f>
        <v>41120</v>
      </c>
      <c r="H40" s="667">
        <v>43893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6'!R39</f>
        <v>3736</v>
      </c>
      <c r="D45" s="187">
        <v>1975</v>
      </c>
      <c r="E45" s="197" t="s">
        <v>135</v>
      </c>
      <c r="F45" s="87" t="s">
        <v>136</v>
      </c>
      <c r="G45" s="188">
        <v>95691</v>
      </c>
      <c r="H45" s="187">
        <f>395+94663</f>
        <v>95058</v>
      </c>
    </row>
    <row r="46" spans="1:13" ht="15.75">
      <c r="A46" s="459" t="s">
        <v>137</v>
      </c>
      <c r="B46" s="90" t="s">
        <v>138</v>
      </c>
      <c r="C46" s="564">
        <f>C35+C40+C45</f>
        <v>7467</v>
      </c>
      <c r="D46" s="565">
        <f>D35+D40+D45</f>
        <v>2001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637</v>
      </c>
      <c r="H47" s="187">
        <v>2661</v>
      </c>
    </row>
    <row r="48" spans="1:13" ht="15.75">
      <c r="A48" s="84" t="s">
        <v>144</v>
      </c>
      <c r="B48" s="86" t="s">
        <v>145</v>
      </c>
      <c r="C48" s="188">
        <v>12296</v>
      </c>
      <c r="D48" s="187"/>
      <c r="E48" s="192" t="s">
        <v>146</v>
      </c>
      <c r="F48" s="87" t="s">
        <v>147</v>
      </c>
      <c r="G48" s="188">
        <v>36447</v>
      </c>
      <c r="H48" s="187">
        <v>48442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1267+133+220+1619</f>
        <v>3239</v>
      </c>
      <c r="H49" s="187">
        <f>206+2183</f>
        <v>2389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136014</v>
      </c>
      <c r="H50" s="563">
        <f>SUM(H44:H49)</f>
        <v>148550</v>
      </c>
    </row>
    <row r="51" spans="1:8" ht="15.75">
      <c r="A51" s="84" t="s">
        <v>79</v>
      </c>
      <c r="B51" s="86" t="s">
        <v>155</v>
      </c>
      <c r="C51" s="188">
        <v>0</v>
      </c>
      <c r="D51" s="187">
        <v>387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12296</v>
      </c>
      <c r="D52" s="565">
        <f>SUM(D48:D51)</f>
        <v>387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883</v>
      </c>
      <c r="H54" s="187">
        <v>798</v>
      </c>
    </row>
    <row r="55" spans="1:8" ht="15.75">
      <c r="A55" s="94" t="s">
        <v>166</v>
      </c>
      <c r="B55" s="90" t="s">
        <v>167</v>
      </c>
      <c r="C55" s="464">
        <v>2075</v>
      </c>
      <c r="D55" s="465">
        <v>1741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336340</v>
      </c>
      <c r="D56" s="569">
        <f>D20+D21+D22+D28+D33+D46+D52+D54+D55</f>
        <v>315659</v>
      </c>
      <c r="E56" s="94" t="s">
        <v>825</v>
      </c>
      <c r="F56" s="93" t="s">
        <v>172</v>
      </c>
      <c r="G56" s="566">
        <f>G50+G52+G53+G54+G55</f>
        <v>136897</v>
      </c>
      <c r="H56" s="567">
        <f>H50+H52+H53+H54+H55</f>
        <v>149348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1792</v>
      </c>
      <c r="D59" s="187">
        <v>1777</v>
      </c>
      <c r="E59" s="192" t="s">
        <v>180</v>
      </c>
      <c r="F59" s="472" t="s">
        <v>181</v>
      </c>
      <c r="G59" s="188">
        <f>13608+409</f>
        <v>14017</v>
      </c>
      <c r="H59" s="187">
        <v>15379</v>
      </c>
    </row>
    <row r="60" spans="1:13" ht="15.75">
      <c r="A60" s="84" t="s">
        <v>178</v>
      </c>
      <c r="B60" s="86" t="s">
        <v>179</v>
      </c>
      <c r="C60" s="188">
        <v>222</v>
      </c>
      <c r="D60" s="187">
        <v>760</v>
      </c>
      <c r="E60" s="84" t="s">
        <v>184</v>
      </c>
      <c r="F60" s="87" t="s">
        <v>185</v>
      </c>
      <c r="G60" s="188">
        <f>13189+418</f>
        <v>13607</v>
      </c>
      <c r="H60" s="187">
        <v>8617</v>
      </c>
      <c r="M60" s="92"/>
    </row>
    <row r="61" spans="1:8" ht="15.75">
      <c r="A61" s="84" t="s">
        <v>182</v>
      </c>
      <c r="B61" s="86" t="s">
        <v>183</v>
      </c>
      <c r="C61" s="188">
        <f>296-39</f>
        <v>257</v>
      </c>
      <c r="D61" s="187">
        <f>266-39</f>
        <v>227</v>
      </c>
      <c r="E61" s="191" t="s">
        <v>188</v>
      </c>
      <c r="F61" s="87" t="s">
        <v>189</v>
      </c>
      <c r="G61" s="562">
        <f>SUM(G62:G68)</f>
        <v>72398</v>
      </c>
      <c r="H61" s="563">
        <f>SUM(H62:H68)</f>
        <v>61958</v>
      </c>
    </row>
    <row r="62" spans="1:13" ht="15.75">
      <c r="A62" s="84" t="s">
        <v>186</v>
      </c>
      <c r="B62" s="88" t="s">
        <v>187</v>
      </c>
      <c r="C62" s="188">
        <v>165</v>
      </c>
      <c r="D62" s="187">
        <v>165</v>
      </c>
      <c r="E62" s="191" t="s">
        <v>192</v>
      </c>
      <c r="F62" s="87" t="s">
        <v>193</v>
      </c>
      <c r="G62" s="188">
        <v>232</v>
      </c>
      <c r="H62" s="187">
        <v>142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36633+308</f>
        <v>36941</v>
      </c>
      <c r="H63" s="187">
        <f>25500+1124</f>
        <v>26624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31475</v>
      </c>
      <c r="H64" s="187">
        <v>32013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2436</v>
      </c>
      <c r="D65" s="565">
        <f>SUM(D59:D64)</f>
        <v>2929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3177</v>
      </c>
      <c r="H66" s="187">
        <v>3082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3229</v>
      </c>
      <c r="D68" s="187">
        <v>207</v>
      </c>
      <c r="E68" s="84" t="s">
        <v>212</v>
      </c>
      <c r="F68" s="87" t="s">
        <v>213</v>
      </c>
      <c r="G68" s="188">
        <v>573</v>
      </c>
      <c r="H68" s="187">
        <v>97</v>
      </c>
    </row>
    <row r="69" spans="1:8" ht="15.75">
      <c r="A69" s="84" t="s">
        <v>210</v>
      </c>
      <c r="B69" s="86" t="s">
        <v>211</v>
      </c>
      <c r="C69" s="188">
        <f>42577+8126</f>
        <v>50703</v>
      </c>
      <c r="D69" s="187">
        <f>4066+37402</f>
        <v>41468</v>
      </c>
      <c r="E69" s="192" t="s">
        <v>79</v>
      </c>
      <c r="F69" s="87" t="s">
        <v>216</v>
      </c>
      <c r="G69" s="188">
        <f>388+533</f>
        <v>921</v>
      </c>
      <c r="H69" s="187">
        <v>460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38967</v>
      </c>
      <c r="D71" s="187">
        <v>45456</v>
      </c>
      <c r="E71" s="460" t="s">
        <v>47</v>
      </c>
      <c r="F71" s="89" t="s">
        <v>223</v>
      </c>
      <c r="G71" s="564">
        <f>G59+G60+G61+G69+G70</f>
        <v>100943</v>
      </c>
      <c r="H71" s="565">
        <f>H59+H60+H61+H69+H70</f>
        <v>86414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38</v>
      </c>
      <c r="D73" s="187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92937</v>
      </c>
      <c r="D76" s="565">
        <f>SUM(D68:D75)</f>
        <v>87174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100943</v>
      </c>
      <c r="H79" s="567">
        <f>H71+H73+H75+H77</f>
        <v>86414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32562</v>
      </c>
      <c r="D83" s="187">
        <v>13703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32562</v>
      </c>
      <c r="D85" s="565">
        <f>D84+D83+D79</f>
        <v>13703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5680</v>
      </c>
      <c r="D88" s="187">
        <v>6267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5680</v>
      </c>
      <c r="D92" s="565">
        <f>SUM(D88:D91)</f>
        <v>6267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133615</v>
      </c>
      <c r="D94" s="569">
        <f>D65+D76+D85+D92+D93</f>
        <v>110073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469955</v>
      </c>
      <c r="D95" s="571">
        <f>D94+D56</f>
        <v>425732</v>
      </c>
      <c r="E95" s="220" t="s">
        <v>916</v>
      </c>
      <c r="F95" s="475" t="s">
        <v>268</v>
      </c>
      <c r="G95" s="570">
        <f>G37+G40+G56+G79</f>
        <v>469955</v>
      </c>
      <c r="H95" s="571">
        <f>H37+H40+H56+H79</f>
        <v>425732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43889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Р.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SheetLayoutView="90" zoomScalePageLayoutView="0" workbookViewId="0" topLeftCell="A28">
      <selection activeCell="C45" sqref="C45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10733</v>
      </c>
      <c r="D12" s="306">
        <v>11400</v>
      </c>
      <c r="E12" s="185" t="s">
        <v>277</v>
      </c>
      <c r="F12" s="231" t="s">
        <v>278</v>
      </c>
      <c r="G12" s="306">
        <v>237</v>
      </c>
      <c r="H12" s="306">
        <v>0</v>
      </c>
    </row>
    <row r="13" spans="1:8" ht="15.75">
      <c r="A13" s="185" t="s">
        <v>279</v>
      </c>
      <c r="B13" s="181" t="s">
        <v>280</v>
      </c>
      <c r="C13" s="306">
        <v>22501</v>
      </c>
      <c r="D13" s="306">
        <v>21347</v>
      </c>
      <c r="E13" s="185" t="s">
        <v>281</v>
      </c>
      <c r="F13" s="231" t="s">
        <v>282</v>
      </c>
      <c r="G13" s="306">
        <v>6478</v>
      </c>
      <c r="H13" s="306">
        <v>5868</v>
      </c>
    </row>
    <row r="14" spans="1:8" ht="15.75">
      <c r="A14" s="185" t="s">
        <v>283</v>
      </c>
      <c r="B14" s="181" t="s">
        <v>284</v>
      </c>
      <c r="C14" s="306">
        <v>6825</v>
      </c>
      <c r="D14" s="306">
        <v>6231</v>
      </c>
      <c r="E14" s="236" t="s">
        <v>285</v>
      </c>
      <c r="F14" s="231" t="s">
        <v>286</v>
      </c>
      <c r="G14" s="306">
        <f>69713-237-6478</f>
        <v>62998</v>
      </c>
      <c r="H14" s="306">
        <v>59960</v>
      </c>
    </row>
    <row r="15" spans="1:8" ht="15.75">
      <c r="A15" s="185" t="s">
        <v>287</v>
      </c>
      <c r="B15" s="181" t="s">
        <v>288</v>
      </c>
      <c r="C15" s="306">
        <f>27069-3909</f>
        <v>23160</v>
      </c>
      <c r="D15" s="306">
        <f>25286-3615</f>
        <v>21671</v>
      </c>
      <c r="E15" s="236" t="s">
        <v>79</v>
      </c>
      <c r="F15" s="231" t="s">
        <v>289</v>
      </c>
      <c r="G15" s="306">
        <f>6161+2956</f>
        <v>9117</v>
      </c>
      <c r="H15" s="306">
        <v>10125</v>
      </c>
    </row>
    <row r="16" spans="1:8" ht="15.75">
      <c r="A16" s="185" t="s">
        <v>290</v>
      </c>
      <c r="B16" s="181" t="s">
        <v>291</v>
      </c>
      <c r="C16" s="306">
        <v>3909</v>
      </c>
      <c r="D16" s="306">
        <v>3615</v>
      </c>
      <c r="E16" s="227" t="s">
        <v>52</v>
      </c>
      <c r="F16" s="255" t="s">
        <v>292</v>
      </c>
      <c r="G16" s="595">
        <f>SUM(G12:G15)</f>
        <v>78830</v>
      </c>
      <c r="H16" s="596">
        <f>SUM(H12:H15)</f>
        <v>75953</v>
      </c>
    </row>
    <row r="17" spans="1:8" ht="31.5">
      <c r="A17" s="185" t="s">
        <v>293</v>
      </c>
      <c r="B17" s="181" t="s">
        <v>294</v>
      </c>
      <c r="C17" s="306">
        <v>2700</v>
      </c>
      <c r="D17" s="306">
        <v>2492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539</v>
      </c>
      <c r="D18" s="306">
        <v>280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3501</v>
      </c>
      <c r="D19" s="306">
        <v>4166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0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73868</v>
      </c>
      <c r="D22" s="596">
        <f>SUM(D12:D18)+D19</f>
        <v>71202</v>
      </c>
      <c r="E22" s="185" t="s">
        <v>309</v>
      </c>
      <c r="F22" s="228" t="s">
        <v>310</v>
      </c>
      <c r="G22" s="306">
        <v>2505</v>
      </c>
      <c r="H22" s="306">
        <v>2033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0</v>
      </c>
      <c r="H23" s="306"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166</v>
      </c>
    </row>
    <row r="25" spans="1:8" ht="31.5">
      <c r="A25" s="185" t="s">
        <v>316</v>
      </c>
      <c r="B25" s="228" t="s">
        <v>317</v>
      </c>
      <c r="C25" s="306">
        <v>8277</v>
      </c>
      <c r="D25" s="306">
        <v>7913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958</v>
      </c>
      <c r="H26" s="306">
        <v>965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3463</v>
      </c>
      <c r="H27" s="596">
        <f>SUM(H22:H26)</f>
        <v>3164</v>
      </c>
    </row>
    <row r="28" spans="1:8" ht="15.75">
      <c r="A28" s="185" t="s">
        <v>79</v>
      </c>
      <c r="B28" s="228" t="s">
        <v>327</v>
      </c>
      <c r="C28" s="306">
        <v>25</v>
      </c>
      <c r="D28" s="306">
        <v>4150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8302</v>
      </c>
      <c r="D29" s="596">
        <f>SUM(D25:D28)</f>
        <v>12063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82170</v>
      </c>
      <c r="D31" s="602">
        <f>D29+D22</f>
        <v>83265</v>
      </c>
      <c r="E31" s="242" t="s">
        <v>800</v>
      </c>
      <c r="F31" s="257" t="s">
        <v>331</v>
      </c>
      <c r="G31" s="244">
        <f>G16+G18+G27</f>
        <v>82293</v>
      </c>
      <c r="H31" s="245">
        <f>H16+H18+H27</f>
        <v>79117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123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4148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82170</v>
      </c>
      <c r="D36" s="604">
        <f>D31-D34+D35</f>
        <v>83265</v>
      </c>
      <c r="E36" s="253" t="s">
        <v>346</v>
      </c>
      <c r="F36" s="247" t="s">
        <v>347</v>
      </c>
      <c r="G36" s="258">
        <f>G35-G34+G31</f>
        <v>82293</v>
      </c>
      <c r="H36" s="259">
        <f>H35-H34+H31</f>
        <v>79117</v>
      </c>
    </row>
    <row r="37" spans="1:8" ht="15.75">
      <c r="A37" s="252" t="s">
        <v>348</v>
      </c>
      <c r="B37" s="222" t="s">
        <v>349</v>
      </c>
      <c r="C37" s="601">
        <f>IF((G36-C36)&gt;0,G36-C36,0)</f>
        <v>123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4148</v>
      </c>
    </row>
    <row r="38" spans="1:8" ht="15.75">
      <c r="A38" s="225" t="s">
        <v>352</v>
      </c>
      <c r="B38" s="229" t="s">
        <v>353</v>
      </c>
      <c r="C38" s="595">
        <f>C39+C40+C41</f>
        <v>512</v>
      </c>
      <c r="D38" s="596">
        <f>D39+D40+D41</f>
        <v>709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697</v>
      </c>
      <c r="D39" s="306">
        <v>709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-246</v>
      </c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>
        <v>61</v>
      </c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389</v>
      </c>
      <c r="H42" s="235">
        <f>IF(H37&gt;0,IF(D38+H37&lt;0,0,D38+H37),IF(D37-D38&lt;0,D38-D37,0))</f>
        <v>4857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2">
        <v>2843</v>
      </c>
      <c r="H43" s="605">
        <v>3707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2454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1150</v>
      </c>
    </row>
    <row r="45" spans="1:8" ht="16.5" thickBot="1">
      <c r="A45" s="261" t="s">
        <v>371</v>
      </c>
      <c r="B45" s="262" t="s">
        <v>372</v>
      </c>
      <c r="C45" s="597">
        <f>C36+C38+C42</f>
        <v>82682</v>
      </c>
      <c r="D45" s="598">
        <f>D36+D38+D42</f>
        <v>83974</v>
      </c>
      <c r="E45" s="261" t="s">
        <v>373</v>
      </c>
      <c r="F45" s="263" t="s">
        <v>374</v>
      </c>
      <c r="G45" s="597">
        <f>G42+G36</f>
        <v>82682</v>
      </c>
      <c r="H45" s="598">
        <f>H42+H36</f>
        <v>83974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43889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Р.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9:E59"/>
    <mergeCell ref="B60:E60"/>
    <mergeCell ref="B61:E61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5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Normal="110" zoomScaleSheetLayoutView="100" zoomScalePageLayoutView="0" workbookViewId="0" topLeftCell="A13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82717</v>
      </c>
      <c r="D11" s="188">
        <v>73432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-42200</v>
      </c>
      <c r="D12" s="188">
        <v>-41584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-25644</v>
      </c>
      <c r="D14" s="188">
        <v>-23069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-4978</v>
      </c>
      <c r="D15" s="188">
        <v>-3407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-106</v>
      </c>
      <c r="D20" s="188">
        <v>-153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9789</v>
      </c>
      <c r="D21" s="626">
        <f>SUM(D11:D20)</f>
        <v>5219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-23359-1017</f>
        <v>-24376</v>
      </c>
      <c r="D23" s="188">
        <v>-36844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5921</v>
      </c>
      <c r="D24" s="188">
        <v>18544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-24148</v>
      </c>
      <c r="D25" s="188">
        <v>-13744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10032</v>
      </c>
      <c r="D26" s="188">
        <v>10910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872</v>
      </c>
      <c r="D27" s="188">
        <v>1164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-52776</v>
      </c>
      <c r="D28" s="188">
        <v>-12766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26985</v>
      </c>
      <c r="D29" s="188">
        <v>30142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12</v>
      </c>
      <c r="D30" s="188">
        <v>22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905+145+33</f>
        <v>1083</v>
      </c>
      <c r="D32" s="188">
        <v>-1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-56395</v>
      </c>
      <c r="D33" s="626">
        <f>SUM(D23:D32)</f>
        <v>-2573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44998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77643</v>
      </c>
      <c r="D37" s="188">
        <v>80700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-67319</v>
      </c>
      <c r="D38" s="188">
        <v>-80015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-373-422-60</f>
        <v>-855</v>
      </c>
      <c r="D39" s="188">
        <v>-424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-8430</v>
      </c>
      <c r="D40" s="188">
        <v>-6678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-6-12</f>
        <v>-18</v>
      </c>
      <c r="D42" s="188">
        <v>-210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46019</v>
      </c>
      <c r="D43" s="628">
        <f>SUM(D35:D42)</f>
        <v>-6627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-587</v>
      </c>
      <c r="D44" s="298">
        <f>D43+D33+D21</f>
        <v>-3981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6267</v>
      </c>
      <c r="D45" s="188">
        <v>10248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5680</v>
      </c>
      <c r="D46" s="301">
        <f>D45+D44</f>
        <v>6267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43889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Р.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L34" sqref="L3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f>+'1-Баланс'!H22</f>
        <v>3406</v>
      </c>
      <c r="I13" s="551">
        <f>'1-Баланс'!H29+'1-Баланс'!H32</f>
        <v>24192</v>
      </c>
      <c r="J13" s="551">
        <f>'1-Баланс'!H30+'1-Баланс'!H33</f>
        <v>0</v>
      </c>
      <c r="K13" s="552"/>
      <c r="L13" s="551">
        <f>SUM(C13:K13)</f>
        <v>146077</v>
      </c>
      <c r="M13" s="553">
        <f>'1-Баланс'!H40</f>
        <v>43893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3406</v>
      </c>
      <c r="I17" s="620">
        <f t="shared" si="2"/>
        <v>24192</v>
      </c>
      <c r="J17" s="620">
        <f t="shared" si="2"/>
        <v>0</v>
      </c>
      <c r="K17" s="620">
        <f t="shared" si="2"/>
        <v>0</v>
      </c>
      <c r="L17" s="551">
        <f t="shared" si="1"/>
        <v>146077</v>
      </c>
      <c r="M17" s="621">
        <f t="shared" si="2"/>
        <v>43893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2454</v>
      </c>
      <c r="J18" s="551">
        <f>+'1-Баланс'!G33</f>
        <v>0</v>
      </c>
      <c r="K18" s="552"/>
      <c r="L18" s="551">
        <f t="shared" si="1"/>
        <v>2454</v>
      </c>
      <c r="M18" s="605">
        <f>-'2-Отчет за доходите'!G43</f>
        <v>-2843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>
        <v>1250</v>
      </c>
      <c r="D30" s="306">
        <f>43623-21</f>
        <v>43602</v>
      </c>
      <c r="E30" s="306"/>
      <c r="F30" s="306"/>
      <c r="G30" s="306"/>
      <c r="H30" s="306">
        <f>-1494+59</f>
        <v>-1435</v>
      </c>
      <c r="I30" s="306">
        <f>-1037+84</f>
        <v>-953</v>
      </c>
      <c r="J30" s="306"/>
      <c r="K30" s="306"/>
      <c r="L30" s="551">
        <f t="shared" si="1"/>
        <v>42464</v>
      </c>
      <c r="M30" s="307">
        <v>70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156845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1971</v>
      </c>
      <c r="I31" s="620">
        <f t="shared" si="6"/>
        <v>25693</v>
      </c>
      <c r="J31" s="620">
        <f t="shared" si="6"/>
        <v>0</v>
      </c>
      <c r="K31" s="620">
        <f t="shared" si="6"/>
        <v>0</v>
      </c>
      <c r="L31" s="551">
        <f t="shared" si="1"/>
        <v>190995</v>
      </c>
      <c r="M31" s="621">
        <f t="shared" si="6"/>
        <v>41120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156845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1971</v>
      </c>
      <c r="I34" s="554">
        <f t="shared" si="7"/>
        <v>25693</v>
      </c>
      <c r="J34" s="554">
        <f t="shared" si="7"/>
        <v>0</v>
      </c>
      <c r="K34" s="554">
        <f t="shared" si="7"/>
        <v>0</v>
      </c>
      <c r="L34" s="618">
        <f t="shared" si="1"/>
        <v>190995</v>
      </c>
      <c r="M34" s="555">
        <f>M31+M32+M33</f>
        <v>41120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43889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Р.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90" zoomScaleNormal="90" zoomScaleSheetLayoutView="70" zoomScalePageLayoutView="0" workbookViewId="0" topLeftCell="C10">
      <selection activeCell="E40" sqref="E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50596</v>
      </c>
      <c r="E11" s="318"/>
      <c r="F11" s="318">
        <v>4951</v>
      </c>
      <c r="G11" s="666">
        <f>D11+E11-F11</f>
        <v>45645</v>
      </c>
      <c r="H11" s="318"/>
      <c r="I11" s="318"/>
      <c r="J11" s="319">
        <f>G11+H11-I11</f>
        <v>45645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45645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97811</v>
      </c>
      <c r="E12" s="318">
        <v>15206</v>
      </c>
      <c r="F12" s="318">
        <f>5965+9</f>
        <v>5974</v>
      </c>
      <c r="G12" s="666">
        <f aca="true" t="shared" si="2" ref="G12:G18">D12+E12-F12</f>
        <v>107043</v>
      </c>
      <c r="H12" s="318"/>
      <c r="I12" s="318"/>
      <c r="J12" s="319">
        <f aca="true" t="shared" si="3" ref="J12:J41">G12+H12-I12</f>
        <v>107043</v>
      </c>
      <c r="K12" s="318">
        <v>8683</v>
      </c>
      <c r="L12" s="318">
        <v>1391</v>
      </c>
      <c r="M12" s="318">
        <v>3</v>
      </c>
      <c r="N12" s="319">
        <f aca="true" t="shared" si="4" ref="N12:N41">K12+L12-M12</f>
        <v>10071</v>
      </c>
      <c r="O12" s="318"/>
      <c r="P12" s="318"/>
      <c r="Q12" s="319">
        <f t="shared" si="0"/>
        <v>10071</v>
      </c>
      <c r="R12" s="330">
        <f t="shared" si="1"/>
        <v>96972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72483</v>
      </c>
      <c r="E13" s="318">
        <f>124+3647</f>
        <v>3771</v>
      </c>
      <c r="F13" s="318">
        <v>2969</v>
      </c>
      <c r="G13" s="666">
        <f t="shared" si="2"/>
        <v>73285</v>
      </c>
      <c r="H13" s="318"/>
      <c r="I13" s="318"/>
      <c r="J13" s="319">
        <f t="shared" si="3"/>
        <v>73285</v>
      </c>
      <c r="K13" s="318">
        <v>29147</v>
      </c>
      <c r="L13" s="318">
        <v>3250</v>
      </c>
      <c r="M13" s="318">
        <v>2442</v>
      </c>
      <c r="N13" s="319">
        <f t="shared" si="4"/>
        <v>29955</v>
      </c>
      <c r="O13" s="318"/>
      <c r="P13" s="318"/>
      <c r="Q13" s="319">
        <f t="shared" si="0"/>
        <v>29955</v>
      </c>
      <c r="R13" s="330">
        <f t="shared" si="1"/>
        <v>43330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1654</v>
      </c>
      <c r="E15" s="318">
        <v>75</v>
      </c>
      <c r="F15" s="318">
        <v>239</v>
      </c>
      <c r="G15" s="666">
        <f>D15+E15-F15</f>
        <v>1490</v>
      </c>
      <c r="H15" s="318"/>
      <c r="I15" s="318"/>
      <c r="J15" s="319">
        <f t="shared" si="3"/>
        <v>1490</v>
      </c>
      <c r="K15" s="318">
        <v>1271</v>
      </c>
      <c r="L15" s="318">
        <v>156</v>
      </c>
      <c r="M15" s="318">
        <v>285</v>
      </c>
      <c r="N15" s="319">
        <f t="shared" si="4"/>
        <v>1142</v>
      </c>
      <c r="O15" s="318"/>
      <c r="P15" s="318"/>
      <c r="Q15" s="319">
        <f t="shared" si="0"/>
        <v>1142</v>
      </c>
      <c r="R15" s="330">
        <f t="shared" si="1"/>
        <v>348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13534</v>
      </c>
      <c r="E16" s="318">
        <f>1531+110</f>
        <v>1641</v>
      </c>
      <c r="F16" s="318">
        <v>119</v>
      </c>
      <c r="G16" s="666">
        <f t="shared" si="2"/>
        <v>15056</v>
      </c>
      <c r="H16" s="318"/>
      <c r="I16" s="318"/>
      <c r="J16" s="319">
        <f t="shared" si="3"/>
        <v>15056</v>
      </c>
      <c r="K16" s="318">
        <v>5949</v>
      </c>
      <c r="L16" s="318">
        <f>1237+539</f>
        <v>1776</v>
      </c>
      <c r="M16" s="318">
        <f>92+364</f>
        <v>456</v>
      </c>
      <c r="N16" s="319">
        <f t="shared" si="4"/>
        <v>7269</v>
      </c>
      <c r="O16" s="318"/>
      <c r="P16" s="318"/>
      <c r="Q16" s="319">
        <f t="shared" si="0"/>
        <v>7269</v>
      </c>
      <c r="R16" s="330">
        <f t="shared" si="1"/>
        <v>7787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32978</v>
      </c>
      <c r="E17" s="318">
        <v>21501</v>
      </c>
      <c r="F17" s="318">
        <f>7922+32+284+20785+13</f>
        <v>29036</v>
      </c>
      <c r="G17" s="666">
        <f t="shared" si="2"/>
        <v>25443</v>
      </c>
      <c r="H17" s="318"/>
      <c r="I17" s="318"/>
      <c r="J17" s="319">
        <f t="shared" si="3"/>
        <v>25443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25443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651</v>
      </c>
      <c r="E18" s="318">
        <f>20+326+2648</f>
        <v>2994</v>
      </c>
      <c r="F18" s="318">
        <v>0</v>
      </c>
      <c r="G18" s="666">
        <f t="shared" si="2"/>
        <v>3645</v>
      </c>
      <c r="H18" s="318"/>
      <c r="I18" s="318"/>
      <c r="J18" s="319">
        <f t="shared" si="3"/>
        <v>3645</v>
      </c>
      <c r="K18" s="318">
        <v>430</v>
      </c>
      <c r="L18" s="318">
        <f>364+46</f>
        <v>410</v>
      </c>
      <c r="M18" s="318">
        <v>0</v>
      </c>
      <c r="N18" s="319">
        <f t="shared" si="4"/>
        <v>840</v>
      </c>
      <c r="O18" s="318"/>
      <c r="P18" s="318"/>
      <c r="Q18" s="319">
        <f t="shared" si="0"/>
        <v>840</v>
      </c>
      <c r="R18" s="330">
        <f t="shared" si="1"/>
        <v>2805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269707</v>
      </c>
      <c r="E19" s="320">
        <f>SUM(E11:E18)</f>
        <v>45188</v>
      </c>
      <c r="F19" s="320">
        <f>SUM(F11:F18)</f>
        <v>43288</v>
      </c>
      <c r="G19" s="319">
        <f aca="true" t="shared" si="5" ref="G19:G41">D19+E19-F19</f>
        <v>271607</v>
      </c>
      <c r="H19" s="320">
        <f>SUM(H11:H18)</f>
        <v>0</v>
      </c>
      <c r="I19" s="320">
        <f>SUM(I11:I18)</f>
        <v>0</v>
      </c>
      <c r="J19" s="319">
        <f t="shared" si="3"/>
        <v>271607</v>
      </c>
      <c r="K19" s="320">
        <f>SUM(K11:K18)</f>
        <v>45480</v>
      </c>
      <c r="L19" s="320">
        <f>SUM(L11:L18)</f>
        <v>6983</v>
      </c>
      <c r="M19" s="320">
        <f>SUM(M11:M18)</f>
        <v>3186</v>
      </c>
      <c r="N19" s="319">
        <f t="shared" si="4"/>
        <v>49277</v>
      </c>
      <c r="O19" s="320">
        <f>SUM(O11:O18)</f>
        <v>0</v>
      </c>
      <c r="P19" s="320">
        <f>SUM(P11:P18)</f>
        <v>0</v>
      </c>
      <c r="Q19" s="319">
        <f t="shared" si="0"/>
        <v>49277</v>
      </c>
      <c r="R19" s="330">
        <f t="shared" si="1"/>
        <v>222330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30349</v>
      </c>
      <c r="E20" s="318">
        <f>203+6084+11</f>
        <v>6298</v>
      </c>
      <c r="F20" s="318">
        <v>2274</v>
      </c>
      <c r="G20" s="319">
        <f t="shared" si="5"/>
        <v>34373</v>
      </c>
      <c r="H20" s="318"/>
      <c r="I20" s="318"/>
      <c r="J20" s="319">
        <f t="shared" si="3"/>
        <v>34373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34373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13715</v>
      </c>
      <c r="E23" s="318">
        <v>682</v>
      </c>
      <c r="F23" s="318">
        <v>0</v>
      </c>
      <c r="G23" s="319">
        <f t="shared" si="5"/>
        <v>14397</v>
      </c>
      <c r="H23" s="318"/>
      <c r="I23" s="318"/>
      <c r="J23" s="319">
        <f t="shared" si="3"/>
        <v>14397</v>
      </c>
      <c r="K23" s="318">
        <v>52</v>
      </c>
      <c r="L23" s="318">
        <v>3</v>
      </c>
      <c r="M23" s="318">
        <v>0</v>
      </c>
      <c r="N23" s="319">
        <f t="shared" si="4"/>
        <v>55</v>
      </c>
      <c r="O23" s="318">
        <v>0</v>
      </c>
      <c r="P23" s="318"/>
      <c r="Q23" s="319">
        <f t="shared" si="0"/>
        <v>55</v>
      </c>
      <c r="R23" s="330">
        <f t="shared" si="1"/>
        <v>14342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1865</v>
      </c>
      <c r="E24" s="318">
        <f>35+12</f>
        <v>47</v>
      </c>
      <c r="F24" s="318">
        <v>0</v>
      </c>
      <c r="G24" s="319">
        <f t="shared" si="5"/>
        <v>1912</v>
      </c>
      <c r="H24" s="318"/>
      <c r="I24" s="318"/>
      <c r="J24" s="319">
        <f t="shared" si="3"/>
        <v>1912</v>
      </c>
      <c r="K24" s="318">
        <v>1708</v>
      </c>
      <c r="L24" s="318">
        <v>84</v>
      </c>
      <c r="M24" s="318">
        <v>0</v>
      </c>
      <c r="N24" s="319">
        <f t="shared" si="4"/>
        <v>1792</v>
      </c>
      <c r="O24" s="318">
        <v>0</v>
      </c>
      <c r="P24" s="318"/>
      <c r="Q24" s="319">
        <f t="shared" si="0"/>
        <v>1792</v>
      </c>
      <c r="R24" s="330">
        <f t="shared" si="1"/>
        <v>120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f>4018+4721</f>
        <v>8739</v>
      </c>
      <c r="E26" s="318">
        <v>334</v>
      </c>
      <c r="F26" s="318">
        <f>3172+12</f>
        <v>3184</v>
      </c>
      <c r="G26" s="319">
        <f t="shared" si="5"/>
        <v>5889</v>
      </c>
      <c r="H26" s="318"/>
      <c r="I26" s="318"/>
      <c r="J26" s="319">
        <f t="shared" si="3"/>
        <v>5889</v>
      </c>
      <c r="K26" s="318">
        <f>15+3922</f>
        <v>3937</v>
      </c>
      <c r="L26" s="318">
        <f>111+8</f>
        <v>119</v>
      </c>
      <c r="M26" s="318">
        <v>3172</v>
      </c>
      <c r="N26" s="319">
        <f t="shared" si="4"/>
        <v>884</v>
      </c>
      <c r="O26" s="318"/>
      <c r="P26" s="318">
        <v>0</v>
      </c>
      <c r="Q26" s="319">
        <f t="shared" si="0"/>
        <v>884</v>
      </c>
      <c r="R26" s="330">
        <f t="shared" si="1"/>
        <v>5005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24319</v>
      </c>
      <c r="E27" s="322">
        <f aca="true" t="shared" si="6" ref="E27:P27">SUM(E23:E26)</f>
        <v>1063</v>
      </c>
      <c r="F27" s="322">
        <f t="shared" si="6"/>
        <v>3184</v>
      </c>
      <c r="G27" s="323">
        <f t="shared" si="5"/>
        <v>22198</v>
      </c>
      <c r="H27" s="322">
        <f t="shared" si="6"/>
        <v>0</v>
      </c>
      <c r="I27" s="322">
        <f t="shared" si="6"/>
        <v>0</v>
      </c>
      <c r="J27" s="323">
        <f t="shared" si="3"/>
        <v>22198</v>
      </c>
      <c r="K27" s="322">
        <f t="shared" si="6"/>
        <v>5697</v>
      </c>
      <c r="L27" s="322">
        <f t="shared" si="6"/>
        <v>206</v>
      </c>
      <c r="M27" s="322">
        <f t="shared" si="6"/>
        <v>3172</v>
      </c>
      <c r="N27" s="323">
        <f t="shared" si="4"/>
        <v>2731</v>
      </c>
      <c r="O27" s="322">
        <f t="shared" si="6"/>
        <v>0</v>
      </c>
      <c r="P27" s="322">
        <f t="shared" si="6"/>
        <v>0</v>
      </c>
      <c r="Q27" s="323">
        <f t="shared" si="0"/>
        <v>2731</v>
      </c>
      <c r="R27" s="333">
        <f t="shared" si="1"/>
        <v>19467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26</v>
      </c>
      <c r="E29" s="325">
        <f aca="true" t="shared" si="7" ref="E29:P29">SUM(E30:E33)</f>
        <v>3722</v>
      </c>
      <c r="F29" s="325">
        <f t="shared" si="7"/>
        <v>17</v>
      </c>
      <c r="G29" s="326">
        <f t="shared" si="5"/>
        <v>3731</v>
      </c>
      <c r="H29" s="325">
        <f t="shared" si="7"/>
        <v>0</v>
      </c>
      <c r="I29" s="325">
        <f t="shared" si="7"/>
        <v>0</v>
      </c>
      <c r="J29" s="326">
        <f t="shared" si="3"/>
        <v>3731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3731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26</v>
      </c>
      <c r="E32" s="318">
        <f>3722</f>
        <v>3722</v>
      </c>
      <c r="F32" s="318">
        <v>17</v>
      </c>
      <c r="G32" s="319">
        <f t="shared" si="5"/>
        <v>3731</v>
      </c>
      <c r="H32" s="318"/>
      <c r="I32" s="318"/>
      <c r="J32" s="319">
        <f t="shared" si="3"/>
        <v>3731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3731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>
        <v>1975</v>
      </c>
      <c r="E39" s="318">
        <v>1761</v>
      </c>
      <c r="F39" s="318"/>
      <c r="G39" s="319">
        <f t="shared" si="5"/>
        <v>3736</v>
      </c>
      <c r="H39" s="318"/>
      <c r="I39" s="318"/>
      <c r="J39" s="319">
        <f t="shared" si="3"/>
        <v>3736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3736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2001</v>
      </c>
      <c r="E40" s="320">
        <f aca="true" t="shared" si="11" ref="E40:P40">E29+E34+E39</f>
        <v>5483</v>
      </c>
      <c r="F40" s="320">
        <f t="shared" si="11"/>
        <v>17</v>
      </c>
      <c r="G40" s="319">
        <f t="shared" si="5"/>
        <v>7467</v>
      </c>
      <c r="H40" s="320">
        <f t="shared" si="11"/>
        <v>0</v>
      </c>
      <c r="I40" s="320">
        <f t="shared" si="11"/>
        <v>0</v>
      </c>
      <c r="J40" s="319">
        <f t="shared" si="3"/>
        <v>7467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7467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38332</v>
      </c>
      <c r="E41" s="318"/>
      <c r="F41" s="318"/>
      <c r="G41" s="319">
        <f t="shared" si="5"/>
        <v>38332</v>
      </c>
      <c r="H41" s="318"/>
      <c r="I41" s="318"/>
      <c r="J41" s="319">
        <f t="shared" si="3"/>
        <v>38332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38332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364708</v>
      </c>
      <c r="E42" s="339">
        <f>E19+E20+E21+E27+E40+E41</f>
        <v>58032</v>
      </c>
      <c r="F42" s="339">
        <f aca="true" t="shared" si="12" ref="F42:R42">F19+F20+F21+F27+F40+F41</f>
        <v>48763</v>
      </c>
      <c r="G42" s="339">
        <f t="shared" si="12"/>
        <v>373977</v>
      </c>
      <c r="H42" s="339">
        <f t="shared" si="12"/>
        <v>0</v>
      </c>
      <c r="I42" s="339">
        <f t="shared" si="12"/>
        <v>0</v>
      </c>
      <c r="J42" s="339">
        <f t="shared" si="12"/>
        <v>373977</v>
      </c>
      <c r="K42" s="339">
        <f t="shared" si="12"/>
        <v>51177</v>
      </c>
      <c r="L42" s="339">
        <f t="shared" si="12"/>
        <v>7189</v>
      </c>
      <c r="M42" s="339">
        <f t="shared" si="12"/>
        <v>6358</v>
      </c>
      <c r="N42" s="339">
        <f t="shared" si="12"/>
        <v>52008</v>
      </c>
      <c r="O42" s="339">
        <f t="shared" si="12"/>
        <v>0</v>
      </c>
      <c r="P42" s="339">
        <f t="shared" si="12"/>
        <v>0</v>
      </c>
      <c r="Q42" s="339">
        <f t="shared" si="12"/>
        <v>52008</v>
      </c>
      <c r="R42" s="340">
        <f t="shared" si="12"/>
        <v>321969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43889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Р.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D27:F27 P27 L27" emptyCellReference="1"/>
    <ignoredError sqref="N27 G40 G19 N19" formula="1"/>
    <ignoredError sqref="K26 F12 L16:M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85">
      <selection activeCell="C71" sqref="C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12293</v>
      </c>
      <c r="D13" s="352">
        <f>SUM(D14:D16)</f>
        <v>0</v>
      </c>
      <c r="E13" s="359">
        <f>SUM(E14:E16)</f>
        <v>12293</v>
      </c>
      <c r="F13" s="124"/>
    </row>
    <row r="14" spans="1:6" ht="15.75">
      <c r="A14" s="360" t="s">
        <v>596</v>
      </c>
      <c r="B14" s="126" t="s">
        <v>597</v>
      </c>
      <c r="C14" s="358">
        <v>12293</v>
      </c>
      <c r="D14" s="358"/>
      <c r="E14" s="359">
        <f aca="true" t="shared" si="0" ref="E14:E44">C14-D14</f>
        <v>12293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3</v>
      </c>
      <c r="D18" s="352">
        <f>+D19+D20</f>
        <v>0</v>
      </c>
      <c r="E18" s="359">
        <f t="shared" si="0"/>
        <v>3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3</v>
      </c>
      <c r="D20" s="358"/>
      <c r="E20" s="359">
        <f t="shared" si="0"/>
        <v>3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12296</v>
      </c>
      <c r="D21" s="430">
        <f>D13+D17+D18</f>
        <v>0</v>
      </c>
      <c r="E21" s="431">
        <f>E13+E17+E18</f>
        <v>12296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2075</v>
      </c>
      <c r="D23" s="433"/>
      <c r="E23" s="432">
        <f t="shared" si="0"/>
        <v>2075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3229</v>
      </c>
      <c r="D26" s="352">
        <f>SUM(D27:D29)</f>
        <v>3229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v>2919</v>
      </c>
      <c r="D27" s="358">
        <f>+C27</f>
        <v>2919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310</v>
      </c>
      <c r="D28" s="358">
        <f>+C28</f>
        <v>310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50703-C31</f>
        <v>42577</v>
      </c>
      <c r="D30" s="358">
        <f>50703-D31</f>
        <v>42577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8126</v>
      </c>
      <c r="D31" s="358">
        <v>8126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38967</v>
      </c>
      <c r="D32" s="358">
        <v>38967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38</v>
      </c>
      <c r="D35" s="352">
        <f>SUM(D36:D39)</f>
        <v>38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38</v>
      </c>
      <c r="D37" s="358">
        <v>38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92937</v>
      </c>
      <c r="D45" s="428">
        <f>D26+D30+D31+D33+D32+D34+D35+D40</f>
        <v>92937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107308</v>
      </c>
      <c r="D46" s="434">
        <f>D45+D23+D21+D11</f>
        <v>92937</v>
      </c>
      <c r="E46" s="435">
        <f>E45+E23+E21+E11</f>
        <v>14371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95691</v>
      </c>
      <c r="D58" s="129">
        <f>D59+D61</f>
        <v>0</v>
      </c>
      <c r="E58" s="127">
        <f t="shared" si="1"/>
        <v>95691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95691</v>
      </c>
      <c r="D59" s="188"/>
      <c r="E59" s="127">
        <f t="shared" si="1"/>
        <v>95691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v>637</v>
      </c>
      <c r="D64" s="188"/>
      <c r="E64" s="127">
        <f>C64-D64</f>
        <v>637</v>
      </c>
      <c r="F64" s="187"/>
    </row>
    <row r="65" spans="1:6" ht="15.75">
      <c r="A65" s="360" t="s">
        <v>680</v>
      </c>
      <c r="B65" s="126" t="s">
        <v>681</v>
      </c>
      <c r="C65" s="188">
        <v>36447</v>
      </c>
      <c r="D65" s="188"/>
      <c r="E65" s="127">
        <f t="shared" si="1"/>
        <v>36447</v>
      </c>
      <c r="F65" s="187"/>
    </row>
    <row r="66" spans="1:6" ht="15.75">
      <c r="A66" s="360" t="s">
        <v>682</v>
      </c>
      <c r="B66" s="126" t="s">
        <v>683</v>
      </c>
      <c r="C66" s="188">
        <v>3239</v>
      </c>
      <c r="D66" s="188"/>
      <c r="E66" s="127">
        <f t="shared" si="1"/>
        <v>3239</v>
      </c>
      <c r="F66" s="187"/>
    </row>
    <row r="67" spans="1:6" ht="15.75">
      <c r="A67" s="360" t="s">
        <v>684</v>
      </c>
      <c r="B67" s="126" t="s">
        <v>685</v>
      </c>
      <c r="C67" s="188">
        <v>133</v>
      </c>
      <c r="D67" s="188"/>
      <c r="E67" s="127">
        <f t="shared" si="1"/>
        <v>133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136014</v>
      </c>
      <c r="D68" s="425">
        <f>D54+D58+D63+D64+D65+D66</f>
        <v>0</v>
      </c>
      <c r="E68" s="426">
        <f t="shared" si="1"/>
        <v>136014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883</v>
      </c>
      <c r="D70" s="188"/>
      <c r="E70" s="127">
        <f t="shared" si="1"/>
        <v>883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232</v>
      </c>
      <c r="D73" s="128">
        <f>SUM(D74:D76)</f>
        <v>232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D74</f>
        <v>0</v>
      </c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232</v>
      </c>
      <c r="D76" s="188">
        <f>+C76</f>
        <v>232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14017</v>
      </c>
      <c r="D77" s="129">
        <f>D78+D80</f>
        <v>14017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14017</v>
      </c>
      <c r="D78" s="188">
        <f>+C78</f>
        <v>14017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>C80-D80</f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13607</v>
      </c>
      <c r="D82" s="129">
        <f>SUM(D83:D86)</f>
        <v>13607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13607</v>
      </c>
      <c r="D84" s="188">
        <f>+C84</f>
        <v>13607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72166</v>
      </c>
      <c r="D87" s="125">
        <f>SUM(D88:D92)+D96</f>
        <v>72166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36941</v>
      </c>
      <c r="D88" s="188">
        <f>+C88</f>
        <v>36941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31475</v>
      </c>
      <c r="D89" s="188">
        <f>+C89</f>
        <v>31475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3177</v>
      </c>
      <c r="D91" s="188">
        <f>+C91</f>
        <v>3177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573</v>
      </c>
      <c r="D92" s="129">
        <f>SUM(D93:D95)</f>
        <v>573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573</v>
      </c>
      <c r="D94" s="188">
        <f>+C94</f>
        <v>573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921</v>
      </c>
      <c r="D97" s="188">
        <f>+C97</f>
        <v>921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100943</v>
      </c>
      <c r="D98" s="423">
        <f>D87+D82+D77+D73+D97</f>
        <v>100943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237840</v>
      </c>
      <c r="D99" s="417">
        <f>D98+D70+D68</f>
        <v>100943</v>
      </c>
      <c r="E99" s="417">
        <f>E98+E70+E68</f>
        <v>136897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43889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Р.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21:F121"/>
    <mergeCell ref="B122:F122"/>
    <mergeCell ref="B116:F116"/>
    <mergeCell ref="B117:F117"/>
    <mergeCell ref="B118:F118"/>
    <mergeCell ref="B119:F119"/>
    <mergeCell ref="B120:F120"/>
    <mergeCell ref="B111:F111"/>
    <mergeCell ref="B112:F112"/>
    <mergeCell ref="B113:F113"/>
    <mergeCell ref="B114:F114"/>
    <mergeCell ref="B115:F115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90" zoomScaleNormal="85" zoomScaleSheetLayoutView="90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>
        <v>32562</v>
      </c>
      <c r="G20" s="439"/>
      <c r="H20" s="439"/>
      <c r="I20" s="440">
        <f t="shared" si="0"/>
        <v>32562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32562</v>
      </c>
      <c r="G27" s="446">
        <f t="shared" si="2"/>
        <v>0</v>
      </c>
      <c r="H27" s="446">
        <f t="shared" si="2"/>
        <v>0</v>
      </c>
      <c r="I27" s="447">
        <f t="shared" si="0"/>
        <v>32562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43889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Р.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0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469955</v>
      </c>
      <c r="D6" s="642">
        <f aca="true" t="shared" si="0" ref="D6:D15">C6-E6</f>
        <v>0</v>
      </c>
      <c r="E6" s="641">
        <f>'1-Баланс'!G95</f>
        <v>469955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190995</v>
      </c>
      <c r="D7" s="642">
        <f t="shared" si="0"/>
        <v>184509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2454</v>
      </c>
      <c r="D8" s="642">
        <f t="shared" si="0"/>
        <v>0</v>
      </c>
      <c r="E8" s="641">
        <f>ABS('2-Отчет за доходите'!C44)-ABS('2-Отчет за доходите'!G44)</f>
        <v>2454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6267</v>
      </c>
      <c r="D9" s="642">
        <f t="shared" si="0"/>
        <v>0</v>
      </c>
      <c r="E9" s="641">
        <f>'3-Отчет за паричния поток'!C45</f>
        <v>6267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5680</v>
      </c>
      <c r="D10" s="642">
        <f t="shared" si="0"/>
        <v>0</v>
      </c>
      <c r="E10" s="641">
        <f>'3-Отчет за паричния поток'!C46</f>
        <v>5680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190995</v>
      </c>
      <c r="D11" s="642">
        <f t="shared" si="0"/>
        <v>0</v>
      </c>
      <c r="E11" s="641">
        <f>'4-Отчет за собствения капитал'!L34</f>
        <v>190995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3731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2020-03-02T06:18:31Z</cp:lastPrinted>
  <dcterms:created xsi:type="dcterms:W3CDTF">2006-09-16T00:00:00Z</dcterms:created>
  <dcterms:modified xsi:type="dcterms:W3CDTF">2020-03-02T15:34:17Z</dcterms:modified>
  <cp:category/>
  <cp:version/>
  <cp:contentType/>
  <cp:contentStatus/>
</cp:coreProperties>
</file>