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0" firstSheet="2" activeTab="7"/>
  </bookViews>
  <sheets>
    <sheet name="Баланс нов" sheetId="1" r:id="rId1"/>
    <sheet name="Очет за доходите нов" sheetId="2" r:id="rId2"/>
    <sheet name="Паричен поток нов" sheetId="3" r:id="rId3"/>
    <sheet name="Собствен капитал нов" sheetId="4" r:id="rId4"/>
    <sheet name="Баланс в лева" sheetId="5" r:id="rId5"/>
    <sheet name="Отчет за доходите в лева" sheetId="6" r:id="rId6"/>
    <sheet name="Паричен поток в лева" sheetId="7" r:id="rId7"/>
    <sheet name="собствен капитал" sheetId="8" r:id="rId8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comments7.xml><?xml version="1.0" encoding="utf-8"?>
<comments xmlns="http://schemas.openxmlformats.org/spreadsheetml/2006/main">
  <authors>
    <author>hgh</author>
  </authors>
  <commentList>
    <comment ref="C18" authorId="0">
      <text>
        <r>
          <rPr>
            <b/>
            <sz val="8"/>
            <rFont val="Tahoma"/>
            <family val="0"/>
          </rPr>
          <t>hgh:</t>
        </r>
        <r>
          <rPr>
            <sz val="8"/>
            <rFont val="Tahoma"/>
            <family val="0"/>
          </rPr>
          <t xml:space="preserve">
32430.47 ГЛАВНИЦА НИС</t>
        </r>
      </text>
    </comment>
    <comment ref="C19" authorId="0">
      <text>
        <r>
          <rPr>
            <b/>
            <sz val="8"/>
            <rFont val="Tahoma"/>
            <family val="0"/>
          </rPr>
          <t>hgh:</t>
        </r>
        <r>
          <rPr>
            <sz val="8"/>
            <rFont val="Tahoma"/>
            <family val="0"/>
          </rPr>
          <t xml:space="preserve">
31400 НИС
</t>
        </r>
      </text>
    </comment>
    <comment ref="C20" authorId="0">
      <text>
        <r>
          <rPr>
            <b/>
            <sz val="8"/>
            <rFont val="Tahoma"/>
            <family val="0"/>
          </rPr>
          <t>hgh:</t>
        </r>
        <r>
          <rPr>
            <sz val="8"/>
            <rFont val="Tahoma"/>
            <family val="0"/>
          </rPr>
          <t xml:space="preserve">
1169.53 НИС</t>
        </r>
      </text>
    </comment>
  </commentList>
</comments>
</file>

<file path=xl/sharedStrings.xml><?xml version="1.0" encoding="utf-8"?>
<sst xmlns="http://schemas.openxmlformats.org/spreadsheetml/2006/main" count="304" uniqueCount="141">
  <si>
    <t>Вземания от свързани лица</t>
  </si>
  <si>
    <t>08.2013</t>
  </si>
  <si>
    <t>4.5</t>
  </si>
  <si>
    <t>Отчет за финансовото състояние</t>
  </si>
  <si>
    <t>Пояснение</t>
  </si>
  <si>
    <t>Всички суми са в хиляди лева</t>
  </si>
  <si>
    <t>Активи</t>
  </si>
  <si>
    <t>Нетекущи активи</t>
  </si>
  <si>
    <t>Дългосрочни финансови активи</t>
  </si>
  <si>
    <t>Текущи активи</t>
  </si>
  <si>
    <t>Вземания и предоставени аванси</t>
  </si>
  <si>
    <t>Други вземания</t>
  </si>
  <si>
    <t>Краткосрочни финансови активи</t>
  </si>
  <si>
    <t>Парични средства</t>
  </si>
  <si>
    <t>Общо активи</t>
  </si>
  <si>
    <t>Капитал</t>
  </si>
  <si>
    <t>Основен капитал</t>
  </si>
  <si>
    <t>Резерви</t>
  </si>
  <si>
    <t>Неразпределена печалба/непокрита загуба от мин. Год.</t>
  </si>
  <si>
    <t>Общ всеобхватен доход за периода</t>
  </si>
  <si>
    <t>Общо капитал</t>
  </si>
  <si>
    <t>Пасиви</t>
  </si>
  <si>
    <t>Текущи пасиви</t>
  </si>
  <si>
    <t>Търговски задължения</t>
  </si>
  <si>
    <t>Данъчни задължения</t>
  </si>
  <si>
    <t>Задължения към персонала и осигурителни</t>
  </si>
  <si>
    <t>институти</t>
  </si>
  <si>
    <t>Други задължения</t>
  </si>
  <si>
    <t>Общо капитал и пасиви</t>
  </si>
  <si>
    <t>Отчет за доходите</t>
  </si>
  <si>
    <t>м.септември2012</t>
  </si>
  <si>
    <t>Продължаващи дейности</t>
  </si>
  <si>
    <t>Приходи от продажби</t>
  </si>
  <si>
    <t>4.7.</t>
  </si>
  <si>
    <t>Приходи от операции с финансови активи</t>
  </si>
  <si>
    <t>Разходи за външни услуги</t>
  </si>
  <si>
    <t>4.8.</t>
  </si>
  <si>
    <t>Разходи за възнаграждения</t>
  </si>
  <si>
    <t>4.9.</t>
  </si>
  <si>
    <t>Разходи за осигуровки</t>
  </si>
  <si>
    <t>Други разходи</t>
  </si>
  <si>
    <t>4.10.</t>
  </si>
  <si>
    <t>4.11.</t>
  </si>
  <si>
    <t>Печалба/загуба за периода преди данъчно облагане</t>
  </si>
  <si>
    <t>Нетна печалба/загуба за периода от продължаващи дейности</t>
  </si>
  <si>
    <t>Доход/(загубa) на акция</t>
  </si>
  <si>
    <t>Отчет за паричните потоци</t>
  </si>
  <si>
    <t>Оперативна дейност</t>
  </si>
  <si>
    <t>Постъпления от клиенти и други дебитори</t>
  </si>
  <si>
    <t xml:space="preserve"> Плащания към доставчици</t>
  </si>
  <si>
    <t>Плащания към персонала и осигурителни институти</t>
  </si>
  <si>
    <t xml:space="preserve"> Други парични потоци от основната дейност</t>
  </si>
  <si>
    <t>Нетен паричен поток от оперативна дейност</t>
  </si>
  <si>
    <t>Инвестиционна дейност</t>
  </si>
  <si>
    <t>Постъпления от продажба на фин.активни</t>
  </si>
  <si>
    <t>Плащания за придобити фин.активи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</si>
  <si>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</si>
  <si>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</si>
  <si>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</si>
  <si>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</si>
  <si>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</si>
  <si>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</si>
  <si>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Изготвил: ____________________</t>
  </si>
  <si>
    <t>Изпълнителен директор:_______</t>
  </si>
  <si>
    <t>Отчет за промените в собствения капитал</t>
  </si>
  <si>
    <t>Поя-</t>
  </si>
  <si>
    <t>Регистри­</t>
  </si>
  <si>
    <t>Финансов резултат</t>
  </si>
  <si>
    <t>Печалба</t>
  </si>
  <si>
    <t>Общо</t>
  </si>
  <si>
    <t>сне</t>
  </si>
  <si>
    <t>ран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</si>
  <si>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</si>
  <si>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</si>
  <si>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</si>
  <si>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</si>
  <si>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</si>
  <si>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</si>
  <si>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</si>
  <si>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</si>
  <si>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</si>
  <si>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</si>
  <si>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</si>
  <si>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</si>
  <si>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</si>
  <si>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</si>
  <si>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Покриване на загуби от нераз-</t>
  </si>
  <si>
    <t>пределена печалба</t>
  </si>
  <si>
    <t>Покриване на непокрити загуби</t>
  </si>
  <si>
    <t>от мин.години от резервите</t>
  </si>
  <si>
    <t>Други изменения</t>
  </si>
  <si>
    <t>Общ всеобхватен доход за</t>
  </si>
  <si>
    <t>Прехвърляне на загубата</t>
  </si>
  <si>
    <t>в непокрита загуба</t>
  </si>
  <si>
    <t>Инвестиции в дъщерни предприятия</t>
  </si>
  <si>
    <t>Разходи от операции с финансови активи</t>
  </si>
  <si>
    <t>Разходи за данъци</t>
  </si>
  <si>
    <t>Други данъци, алтернативни на корпоративния</t>
  </si>
  <si>
    <t>Задължения към финансови институции</t>
  </si>
  <si>
    <t>Получени аванси</t>
  </si>
  <si>
    <t>Финансови разходи</t>
  </si>
  <si>
    <t>Финансови приходи</t>
  </si>
  <si>
    <t>Плащания за данъци</t>
  </si>
  <si>
    <t>Нетекущи пасиви</t>
  </si>
  <si>
    <t>Постъпления по предоставени заеми</t>
  </si>
  <si>
    <t>Плащания по предоставени заеми</t>
  </si>
  <si>
    <t>Плащания по получени заеми</t>
  </si>
  <si>
    <t>Постъпления по получени заеми</t>
  </si>
  <si>
    <t>Постъпления от лихви по предоставени заеми</t>
  </si>
  <si>
    <t>Плащания лихви такси и комисионни</t>
  </si>
  <si>
    <t>-</t>
  </si>
  <si>
    <t>12.2013</t>
  </si>
  <si>
    <t>Други парични потоци от финансова дейност дейност</t>
  </si>
  <si>
    <t xml:space="preserve"> Други парични потоци от финансова дейност</t>
  </si>
  <si>
    <t>Дългосрочни вземания</t>
  </si>
  <si>
    <t>10.2.</t>
  </si>
  <si>
    <t>Пасив по отсрочен данък</t>
  </si>
  <si>
    <t>Актив по отсрочени данъци</t>
  </si>
  <si>
    <t>16.4., 16.5.</t>
  </si>
  <si>
    <t>м.юни.2015</t>
  </si>
  <si>
    <t>30,06,2015</t>
  </si>
  <si>
    <t>06,2015</t>
  </si>
  <si>
    <t>Дата: 20.06.2015 г.</t>
  </si>
  <si>
    <t>Салдо към 1 януари 2015 год</t>
  </si>
  <si>
    <t>Салдо към 30 юни 2015 г.</t>
  </si>
  <si>
    <t>16.1.,16.2.,16.3</t>
  </si>
  <si>
    <t>" ХОЛДИНГ СВЕТА СОФИЯ " АД</t>
  </si>
  <si>
    <t>" ХОЛДИНГ СВЕТА СОФИЯ" АД</t>
  </si>
  <si>
    <t>Други нетекущи активи</t>
  </si>
  <si>
    <t>Изкупени собствени акции</t>
  </si>
  <si>
    <t>Задължения към свързани лица</t>
  </si>
  <si>
    <t>Други дългосрочни задължения</t>
  </si>
  <si>
    <t>Балансова стоойност на прод. ДМА</t>
  </si>
  <si>
    <t xml:space="preserve">Постъпления от клиенти </t>
  </si>
  <si>
    <t>Балансова стойност на продад. ДМА</t>
  </si>
  <si>
    <t>Дата: 20.07.2015 г.</t>
  </si>
  <si>
    <t>Изпълнителен директор:______________</t>
  </si>
  <si>
    <t>М. Петрова</t>
  </si>
  <si>
    <t>В. Янков</t>
  </si>
  <si>
    <t>Изпълнителен директор:________________</t>
  </si>
  <si>
    <t>Изп. директор:___________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</si>
</sst>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##0.00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2]dd\ mmmm\ yyyy\ &quot;г.&quot;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32">
    <font>
      <sz val="1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color indexed="8"/>
      <name val="Garamond"/>
      <family val="1"/>
    </font>
    <font>
      <sz val="5"/>
      <name val="Times New Roman"/>
      <family val="1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5" fillId="24" borderId="0" xfId="0" applyFont="1" applyFill="1" applyAlignment="1">
      <alignment vertical="top" wrapText="1"/>
    </xf>
    <xf numFmtId="3" fontId="4" fillId="24" borderId="0" xfId="0" applyNumberFormat="1" applyFont="1" applyFill="1" applyAlignment="1">
      <alignment vertical="top" wrapText="1"/>
    </xf>
    <xf numFmtId="0" fontId="7" fillId="24" borderId="0" xfId="0" applyFont="1" applyFill="1" applyAlignment="1">
      <alignment vertical="top" wrapText="1"/>
    </xf>
    <xf numFmtId="3" fontId="7" fillId="24" borderId="0" xfId="0" applyNumberFormat="1" applyFont="1" applyFill="1" applyAlignment="1">
      <alignment horizontal="right" vertical="top" wrapText="1"/>
    </xf>
    <xf numFmtId="3" fontId="5" fillId="24" borderId="1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5" fillId="24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24" borderId="0" xfId="0" applyFont="1" applyFill="1" applyAlignment="1">
      <alignment vertical="top" wrapText="1"/>
    </xf>
    <xf numFmtId="173" fontId="4" fillId="24" borderId="0" xfId="0" applyNumberFormat="1" applyFont="1" applyFill="1" applyAlignment="1">
      <alignment vertical="top" wrapText="1"/>
    </xf>
    <xf numFmtId="3" fontId="7" fillId="24" borderId="0" xfId="0" applyNumberFormat="1" applyFont="1" applyFill="1" applyAlignment="1">
      <alignment vertical="top" wrapText="1"/>
    </xf>
    <xf numFmtId="3" fontId="7" fillId="24" borderId="0" xfId="0" applyNumberFormat="1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3" fontId="5" fillId="24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right" vertical="top" wrapText="1"/>
    </xf>
    <xf numFmtId="173" fontId="4" fillId="24" borderId="10" xfId="0" applyNumberFormat="1" applyFont="1" applyFill="1" applyBorder="1" applyAlignment="1">
      <alignment vertical="top" wrapText="1"/>
    </xf>
    <xf numFmtId="173" fontId="7" fillId="24" borderId="0" xfId="0" applyNumberFormat="1" applyFont="1" applyFill="1" applyAlignment="1">
      <alignment vertical="top" wrapText="1"/>
    </xf>
    <xf numFmtId="172" fontId="7" fillId="24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173" fontId="5" fillId="24" borderId="10" xfId="0" applyNumberFormat="1" applyFont="1" applyFill="1" applyBorder="1" applyAlignment="1">
      <alignment vertical="top" wrapText="1"/>
    </xf>
    <xf numFmtId="173" fontId="7" fillId="0" borderId="0" xfId="0" applyNumberFormat="1" applyFont="1" applyFill="1" applyAlignment="1">
      <alignment vertical="top" wrapText="1"/>
    </xf>
    <xf numFmtId="173" fontId="5" fillId="24" borderId="11" xfId="0" applyNumberFormat="1" applyFont="1" applyFill="1" applyBorder="1" applyAlignment="1">
      <alignment vertical="top" wrapText="1"/>
    </xf>
    <xf numFmtId="4" fontId="7" fillId="24" borderId="0" xfId="0" applyNumberFormat="1" applyFont="1" applyFill="1" applyAlignment="1">
      <alignment vertical="top" wrapText="1"/>
    </xf>
    <xf numFmtId="4" fontId="7" fillId="24" borderId="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5" fillId="24" borderId="11" xfId="0" applyNumberFormat="1" applyFont="1" applyFill="1" applyBorder="1" applyAlignment="1">
      <alignment vertical="top" wrapText="1"/>
    </xf>
    <xf numFmtId="4" fontId="4" fillId="24" borderId="10" xfId="0" applyNumberFormat="1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4" fontId="5" fillId="24" borderId="10" xfId="0" applyNumberFormat="1" applyFont="1" applyFill="1" applyBorder="1" applyAlignment="1">
      <alignment vertical="top" wrapText="1"/>
    </xf>
    <xf numFmtId="4" fontId="7" fillId="24" borderId="10" xfId="0" applyNumberFormat="1" applyFont="1" applyFill="1" applyBorder="1" applyAlignment="1">
      <alignment vertical="top" wrapText="1"/>
    </xf>
    <xf numFmtId="4" fontId="4" fillId="24" borderId="11" xfId="0" applyNumberFormat="1" applyFont="1" applyFill="1" applyBorder="1" applyAlignment="1">
      <alignment vertical="top" wrapText="1"/>
    </xf>
    <xf numFmtId="4" fontId="0" fillId="24" borderId="0" xfId="0" applyNumberFormat="1" applyFill="1" applyAlignment="1">
      <alignment vertical="top" wrapText="1"/>
    </xf>
    <xf numFmtId="4" fontId="7" fillId="24" borderId="11" xfId="0" applyNumberFormat="1" applyFont="1" applyFill="1" applyBorder="1" applyAlignment="1">
      <alignment vertical="top" wrapText="1"/>
    </xf>
    <xf numFmtId="4" fontId="7" fillId="24" borderId="12" xfId="0" applyNumberFormat="1" applyFont="1" applyFill="1" applyBorder="1" applyAlignment="1">
      <alignment vertical="top" wrapText="1"/>
    </xf>
    <xf numFmtId="4" fontId="5" fillId="24" borderId="0" xfId="0" applyNumberFormat="1" applyFont="1" applyFill="1" applyAlignment="1">
      <alignment vertical="top" wrapText="1"/>
    </xf>
    <xf numFmtId="4" fontId="6" fillId="24" borderId="10" xfId="0" applyNumberFormat="1" applyFont="1" applyFill="1" applyBorder="1" applyAlignment="1">
      <alignment vertical="top" wrapText="1"/>
    </xf>
    <xf numFmtId="4" fontId="4" fillId="24" borderId="0" xfId="0" applyNumberFormat="1" applyFont="1" applyFill="1" applyAlignment="1">
      <alignment vertical="top" wrapText="1"/>
    </xf>
    <xf numFmtId="4" fontId="6" fillId="24" borderId="0" xfId="0" applyNumberFormat="1" applyFont="1" applyFill="1" applyBorder="1" applyAlignment="1">
      <alignment vertical="top" wrapText="1"/>
    </xf>
    <xf numFmtId="4" fontId="6" fillId="24" borderId="0" xfId="0" applyNumberFormat="1" applyFont="1" applyFill="1" applyAlignment="1">
      <alignment vertical="top" wrapText="1"/>
    </xf>
    <xf numFmtId="173" fontId="0" fillId="0" borderId="0" xfId="0" applyNumberFormat="1" applyAlignment="1">
      <alignment/>
    </xf>
    <xf numFmtId="4" fontId="6" fillId="24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4" fillId="24" borderId="0" xfId="0" applyNumberFormat="1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1" fontId="5" fillId="24" borderId="10" xfId="0" applyNumberFormat="1" applyFont="1" applyFill="1" applyBorder="1" applyAlignment="1">
      <alignment vertical="top" wrapText="1"/>
    </xf>
    <xf numFmtId="3" fontId="6" fillId="24" borderId="0" xfId="0" applyNumberFormat="1" applyFont="1" applyFill="1" applyAlignment="1">
      <alignment vertical="top" wrapText="1"/>
    </xf>
    <xf numFmtId="3" fontId="5" fillId="24" borderId="13" xfId="0" applyNumberFormat="1" applyFont="1" applyFill="1" applyBorder="1" applyAlignment="1">
      <alignment vertical="top" wrapText="1"/>
    </xf>
    <xf numFmtId="4" fontId="5" fillId="24" borderId="13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vertical="top" wrapText="1"/>
    </xf>
    <xf numFmtId="3" fontId="0" fillId="24" borderId="0" xfId="0" applyNumberFormat="1" applyFill="1" applyAlignment="1">
      <alignment vertical="top" wrapText="1"/>
    </xf>
    <xf numFmtId="3" fontId="5" fillId="24" borderId="0" xfId="0" applyNumberFormat="1" applyFont="1" applyFill="1" applyAlignment="1">
      <alignment vertical="top" wrapText="1"/>
    </xf>
    <xf numFmtId="4" fontId="6" fillId="24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5" fillId="24" borderId="0" xfId="0" applyNumberFormat="1" applyFont="1" applyFill="1" applyBorder="1" applyAlignment="1">
      <alignment vertical="top" wrapText="1"/>
    </xf>
    <xf numFmtId="3" fontId="7" fillId="24" borderId="13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24" borderId="0" xfId="0" applyNumberFormat="1" applyFont="1" applyFill="1" applyAlignment="1" quotePrefix="1">
      <alignment vertical="top" wrapText="1"/>
    </xf>
    <xf numFmtId="4" fontId="0" fillId="0" borderId="0" xfId="0" applyNumberFormat="1" applyFill="1" applyAlignment="1">
      <alignment/>
    </xf>
    <xf numFmtId="0" fontId="7" fillId="24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24" borderId="0" xfId="0" applyFont="1" applyFill="1" applyBorder="1" applyAlignment="1">
      <alignment vertical="top" wrapText="1"/>
    </xf>
    <xf numFmtId="173" fontId="4" fillId="24" borderId="0" xfId="0" applyNumberFormat="1" applyFont="1" applyFill="1" applyBorder="1" applyAlignment="1">
      <alignment vertical="top" wrapText="1"/>
    </xf>
    <xf numFmtId="3" fontId="6" fillId="24" borderId="10" xfId="0" applyNumberFormat="1" applyFont="1" applyFill="1" applyBorder="1" applyAlignment="1">
      <alignment vertical="top" wrapText="1"/>
    </xf>
    <xf numFmtId="3" fontId="6" fillId="24" borderId="0" xfId="0" applyNumberFormat="1" applyFont="1" applyFill="1" applyBorder="1" applyAlignment="1">
      <alignment vertical="top" wrapText="1"/>
    </xf>
    <xf numFmtId="3" fontId="6" fillId="24" borderId="12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3" fontId="6" fillId="24" borderId="13" xfId="0" applyNumberFormat="1" applyFont="1" applyFill="1" applyBorder="1" applyAlignment="1">
      <alignment vertical="top" wrapText="1"/>
    </xf>
    <xf numFmtId="3" fontId="6" fillId="24" borderId="11" xfId="0" applyNumberFormat="1" applyFont="1" applyFill="1" applyBorder="1" applyAlignment="1">
      <alignment vertical="top" wrapText="1"/>
    </xf>
    <xf numFmtId="3" fontId="6" fillId="24" borderId="11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3" fontId="7" fillId="24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24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172" fontId="7" fillId="0" borderId="14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0" fillId="24" borderId="0" xfId="0" applyNumberForma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173" fontId="4" fillId="0" borderId="0" xfId="0" applyNumberFormat="1" applyFont="1" applyFill="1" applyAlignment="1">
      <alignment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NumberFormat="1" applyFont="1" applyFill="1" applyAlignment="1">
      <alignment horizontal="right" wrapText="1"/>
    </xf>
    <xf numFmtId="14" fontId="5" fillId="24" borderId="10" xfId="0" applyNumberFormat="1" applyFont="1" applyFill="1" applyBorder="1" applyAlignment="1">
      <alignment horizontal="right" vertical="top" wrapText="1"/>
    </xf>
    <xf numFmtId="14" fontId="5" fillId="24" borderId="11" xfId="0" applyNumberFormat="1" applyFont="1" applyFill="1" applyBorder="1" applyAlignment="1">
      <alignment horizontal="right" vertical="top" wrapText="1"/>
    </xf>
    <xf numFmtId="3" fontId="4" fillId="24" borderId="0" xfId="0" applyNumberFormat="1" applyFont="1" applyFill="1" applyBorder="1" applyAlignment="1">
      <alignment vertical="top" wrapText="1"/>
    </xf>
    <xf numFmtId="174" fontId="7" fillId="0" borderId="0" xfId="0" applyNumberFormat="1" applyFont="1" applyFill="1" applyAlignment="1">
      <alignment horizontal="right" vertical="top" wrapText="1"/>
    </xf>
    <xf numFmtId="174" fontId="7" fillId="0" borderId="0" xfId="0" applyNumberFormat="1" applyFont="1" applyFill="1" applyAlignment="1">
      <alignment vertical="top" wrapText="1"/>
    </xf>
    <xf numFmtId="174" fontId="0" fillId="0" borderId="0" xfId="0" applyNumberFormat="1" applyFill="1" applyAlignment="1">
      <alignment/>
    </xf>
    <xf numFmtId="186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6" fillId="24" borderId="12" xfId="0" applyNumberFormat="1" applyFont="1" applyFill="1" applyBorder="1" applyAlignment="1">
      <alignment vertical="top" wrapText="1"/>
    </xf>
    <xf numFmtId="3" fontId="4" fillId="24" borderId="12" xfId="0" applyNumberFormat="1" applyFont="1" applyFill="1" applyBorder="1" applyAlignment="1">
      <alignment vertical="top" wrapText="1"/>
    </xf>
    <xf numFmtId="3" fontId="1" fillId="0" borderId="0" xfId="0" applyNumberFormat="1" applyFont="1" applyBorder="1" applyAlignment="1">
      <alignment horizontal="center"/>
    </xf>
    <xf numFmtId="3" fontId="6" fillId="24" borderId="11" xfId="0" applyNumberFormat="1" applyFont="1" applyFill="1" applyBorder="1" applyAlignment="1">
      <alignment horizontal="center" vertical="top" wrapText="1"/>
    </xf>
    <xf numFmtId="3" fontId="6" fillId="24" borderId="10" xfId="0" applyNumberFormat="1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2">
      <selection activeCell="E61" sqref="E61"/>
    </sheetView>
  </sheetViews>
  <sheetFormatPr defaultColWidth="9.140625" defaultRowHeight="12.75"/>
  <cols>
    <col min="1" max="1" width="46.140625" style="85" customWidth="1"/>
    <col min="2" max="2" width="13.00390625" style="85" customWidth="1"/>
    <col min="3" max="3" width="13.421875" style="86" customWidth="1"/>
    <col min="4" max="4" width="11.57421875" style="86" hidden="1" customWidth="1"/>
    <col min="5" max="5" width="13.421875" style="86" customWidth="1"/>
    <col min="6" max="16384" width="9.140625" style="85" customWidth="1"/>
  </cols>
  <sheetData>
    <row r="1" spans="1:4" ht="23.25">
      <c r="A1" s="155" t="s">
        <v>127</v>
      </c>
      <c r="B1" s="155"/>
      <c r="C1" s="155"/>
      <c r="D1" s="155"/>
    </row>
    <row r="2" spans="1:5" ht="23.25">
      <c r="A2" s="110"/>
      <c r="B2" s="111"/>
      <c r="C2" s="99"/>
      <c r="D2" s="99"/>
      <c r="E2" s="99"/>
    </row>
    <row r="3" spans="1:4" ht="21">
      <c r="A3" s="156" t="s">
        <v>3</v>
      </c>
      <c r="B3" s="156"/>
      <c r="C3" s="156"/>
      <c r="D3" s="156"/>
    </row>
    <row r="5" ht="13.5" thickBot="1"/>
    <row r="6" spans="1:5" ht="13.5" thickBot="1">
      <c r="A6" s="58"/>
      <c r="B6" s="113" t="s">
        <v>4</v>
      </c>
      <c r="C6" s="78">
        <v>2015</v>
      </c>
      <c r="D6" s="78">
        <v>2012</v>
      </c>
      <c r="E6" s="78">
        <v>2014</v>
      </c>
    </row>
    <row r="7" spans="1:5" ht="16.5" customHeight="1">
      <c r="A7" s="114" t="s">
        <v>5</v>
      </c>
      <c r="B7" s="58"/>
      <c r="C7" s="77"/>
      <c r="D7" s="77"/>
      <c r="E7" s="77"/>
    </row>
    <row r="8" spans="1:5" ht="16.5" customHeight="1">
      <c r="A8" s="115" t="s">
        <v>6</v>
      </c>
      <c r="B8" s="116"/>
      <c r="C8" s="92"/>
      <c r="D8" s="92"/>
      <c r="E8" s="92"/>
    </row>
    <row r="9" spans="1:5" ht="16.5" customHeight="1">
      <c r="A9" s="115" t="s">
        <v>7</v>
      </c>
      <c r="B9" s="116"/>
      <c r="C9" s="92"/>
      <c r="D9" s="92"/>
      <c r="E9" s="92"/>
    </row>
    <row r="10" spans="1:5" ht="16.5" customHeight="1">
      <c r="A10" s="117" t="s">
        <v>128</v>
      </c>
      <c r="B10" s="81">
        <v>5</v>
      </c>
      <c r="C10" s="81">
        <v>6</v>
      </c>
      <c r="D10" s="92"/>
      <c r="E10" s="81">
        <f>6+154</f>
        <v>160</v>
      </c>
    </row>
    <row r="11" spans="1:5" ht="16.5" customHeight="1">
      <c r="A11" s="117" t="s">
        <v>94</v>
      </c>
      <c r="B11" s="149">
        <v>4.1</v>
      </c>
      <c r="C11" s="81">
        <v>5214</v>
      </c>
      <c r="D11" s="92"/>
      <c r="E11" s="81">
        <v>6222</v>
      </c>
    </row>
    <row r="12" spans="1:5" ht="16.5" customHeight="1">
      <c r="A12" s="117" t="s">
        <v>0</v>
      </c>
      <c r="B12" s="100">
        <v>20</v>
      </c>
      <c r="C12" s="100">
        <v>797</v>
      </c>
      <c r="D12" s="100"/>
      <c r="E12" s="100">
        <v>840</v>
      </c>
    </row>
    <row r="13" spans="1:5" ht="16.5" customHeight="1" thickBot="1">
      <c r="A13" s="118" t="s">
        <v>8</v>
      </c>
      <c r="B13" s="149">
        <v>4.2</v>
      </c>
      <c r="C13" s="81">
        <v>89</v>
      </c>
      <c r="D13" s="100">
        <f>80937.55</f>
        <v>80937.55</v>
      </c>
      <c r="E13" s="81">
        <f>905+90</f>
        <v>995</v>
      </c>
    </row>
    <row r="14" spans="1:5" ht="16.5" customHeight="1" hidden="1">
      <c r="A14" s="118" t="s">
        <v>114</v>
      </c>
      <c r="B14" s="81"/>
      <c r="C14" s="81">
        <v>0</v>
      </c>
      <c r="D14" s="100"/>
      <c r="E14" s="81">
        <v>0</v>
      </c>
    </row>
    <row r="15" spans="1:5" ht="16.5" customHeight="1" hidden="1">
      <c r="A15" s="117" t="s">
        <v>117</v>
      </c>
      <c r="B15" s="81"/>
      <c r="C15" s="81"/>
      <c r="D15" s="100"/>
      <c r="E15" s="81"/>
    </row>
    <row r="16" spans="1:5" ht="16.5" customHeight="1" hidden="1">
      <c r="A16" s="117" t="s">
        <v>117</v>
      </c>
      <c r="B16" s="81"/>
      <c r="C16" s="81"/>
      <c r="D16" s="100"/>
      <c r="E16" s="81"/>
    </row>
    <row r="17" spans="1:5" ht="16.5" customHeight="1" thickBot="1">
      <c r="A17" s="58"/>
      <c r="B17" s="76"/>
      <c r="C17" s="76">
        <f>SUM(C10:C15)</f>
        <v>6106</v>
      </c>
      <c r="D17" s="78">
        <f>D13</f>
        <v>80937.55</v>
      </c>
      <c r="E17" s="76">
        <f>SUM(E10:E15)</f>
        <v>8217</v>
      </c>
    </row>
    <row r="18" spans="1:5" ht="16.5" customHeight="1">
      <c r="A18" s="113" t="s">
        <v>9</v>
      </c>
      <c r="B18" s="77"/>
      <c r="C18" s="77"/>
      <c r="D18" s="77"/>
      <c r="E18" s="77"/>
    </row>
    <row r="19" spans="1:5" ht="16.5" customHeight="1">
      <c r="A19" s="117" t="s">
        <v>10</v>
      </c>
      <c r="B19" s="100">
        <v>6</v>
      </c>
      <c r="C19" s="100">
        <f>322-273</f>
        <v>49</v>
      </c>
      <c r="D19" s="100">
        <f>1055.35+1350+1030</f>
        <v>3435.35</v>
      </c>
      <c r="E19" s="100">
        <v>43</v>
      </c>
    </row>
    <row r="20" spans="1:5" ht="16.5" customHeight="1">
      <c r="A20" s="117" t="s">
        <v>0</v>
      </c>
      <c r="B20" s="100">
        <v>20</v>
      </c>
      <c r="C20" s="100">
        <f>68+273</f>
        <v>341</v>
      </c>
      <c r="D20" s="100"/>
      <c r="E20" s="100">
        <v>307</v>
      </c>
    </row>
    <row r="21" spans="1:5" ht="16.5" customHeight="1">
      <c r="A21" s="117" t="s">
        <v>11</v>
      </c>
      <c r="B21" s="100">
        <v>7</v>
      </c>
      <c r="C21" s="100">
        <v>98</v>
      </c>
      <c r="D21" s="100">
        <f>39.64</f>
        <v>39.64</v>
      </c>
      <c r="E21" s="100">
        <f>34+7</f>
        <v>41</v>
      </c>
    </row>
    <row r="22" spans="1:5" ht="16.5" customHeight="1">
      <c r="A22" s="117" t="s">
        <v>12</v>
      </c>
      <c r="B22" s="100">
        <v>9</v>
      </c>
      <c r="C22" s="100">
        <v>1769</v>
      </c>
      <c r="D22" s="100"/>
      <c r="E22" s="81" t="s">
        <v>110</v>
      </c>
    </row>
    <row r="23" spans="1:5" ht="16.5" customHeight="1" thickBot="1">
      <c r="A23" s="117" t="s">
        <v>13</v>
      </c>
      <c r="B23" s="100">
        <v>8</v>
      </c>
      <c r="C23" s="100">
        <v>148</v>
      </c>
      <c r="D23" s="100">
        <f>10516.36+20446.25</f>
        <v>30962.61</v>
      </c>
      <c r="E23" s="100">
        <v>295</v>
      </c>
    </row>
    <row r="24" spans="1:5" ht="16.5" customHeight="1" thickBot="1">
      <c r="A24" s="58"/>
      <c r="B24" s="101"/>
      <c r="C24" s="101">
        <f>SUM(C19:C23)</f>
        <v>2405</v>
      </c>
      <c r="D24" s="78">
        <f>SUM(D19:D23)</f>
        <v>34437.6</v>
      </c>
      <c r="E24" s="101">
        <f>SUM(E19:E23)</f>
        <v>686</v>
      </c>
    </row>
    <row r="25" spans="1:5" ht="16.5" customHeight="1" thickBot="1">
      <c r="A25" s="113" t="s">
        <v>14</v>
      </c>
      <c r="B25" s="101"/>
      <c r="C25" s="101">
        <f>C24+C17</f>
        <v>8511</v>
      </c>
      <c r="D25" s="78">
        <f>D24+D17</f>
        <v>115375.15</v>
      </c>
      <c r="E25" s="101">
        <f>E24+E17</f>
        <v>8903</v>
      </c>
    </row>
    <row r="26" spans="1:5" ht="16.5" customHeight="1">
      <c r="A26" s="113" t="s">
        <v>15</v>
      </c>
      <c r="B26" s="121"/>
      <c r="C26" s="121"/>
      <c r="D26" s="77"/>
      <c r="E26" s="121"/>
    </row>
    <row r="27" spans="1:5" ht="16.5" customHeight="1">
      <c r="A27" s="117" t="s">
        <v>16</v>
      </c>
      <c r="B27" s="150">
        <v>10.1</v>
      </c>
      <c r="C27" s="100">
        <v>4941</v>
      </c>
      <c r="D27" s="100">
        <v>159758</v>
      </c>
      <c r="E27" s="100">
        <v>4941</v>
      </c>
    </row>
    <row r="28" spans="1:5" ht="16.5" customHeight="1">
      <c r="A28" s="117" t="s">
        <v>129</v>
      </c>
      <c r="B28" s="150">
        <v>10.1</v>
      </c>
      <c r="C28" s="100">
        <v>-148</v>
      </c>
      <c r="D28" s="100"/>
      <c r="E28" s="100">
        <v>-148</v>
      </c>
    </row>
    <row r="29" spans="1:5" ht="16.5" customHeight="1">
      <c r="A29" s="117" t="s">
        <v>17</v>
      </c>
      <c r="B29" s="150">
        <v>10.2</v>
      </c>
      <c r="C29" s="100">
        <v>6382</v>
      </c>
      <c r="D29" s="92"/>
      <c r="E29" s="100">
        <v>6382</v>
      </c>
    </row>
    <row r="30" spans="1:5" ht="27.75" customHeight="1">
      <c r="A30" s="117" t="s">
        <v>18</v>
      </c>
      <c r="B30" s="150"/>
      <c r="C30" s="100">
        <v>-3002</v>
      </c>
      <c r="D30" s="100">
        <f>-30830.7</f>
        <v>-30830.7</v>
      </c>
      <c r="E30" s="100">
        <v>-2102</v>
      </c>
    </row>
    <row r="31" spans="1:5" ht="16.5" customHeight="1" thickBot="1">
      <c r="A31" s="117" t="s">
        <v>19</v>
      </c>
      <c r="B31" s="100"/>
      <c r="C31" s="100">
        <v>-325</v>
      </c>
      <c r="D31" s="100">
        <f>-23712.77</f>
        <v>-23712.77</v>
      </c>
      <c r="E31" s="100">
        <v>-900</v>
      </c>
    </row>
    <row r="32" spans="1:5" ht="16.5" customHeight="1" thickBot="1">
      <c r="A32" s="113" t="s">
        <v>20</v>
      </c>
      <c r="B32" s="101"/>
      <c r="C32" s="101">
        <f>SUM(C27:C31)</f>
        <v>7848</v>
      </c>
      <c r="D32" s="78">
        <f>SUM(D27:D31)</f>
        <v>105214.53</v>
      </c>
      <c r="E32" s="101">
        <f>SUM(E27:E31)</f>
        <v>8173</v>
      </c>
    </row>
    <row r="33" spans="1:5" ht="16.5" customHeight="1">
      <c r="A33" s="113" t="s">
        <v>21</v>
      </c>
      <c r="B33" s="121"/>
      <c r="C33" s="121"/>
      <c r="D33" s="77"/>
      <c r="E33" s="121"/>
    </row>
    <row r="34" spans="1:5" ht="16.5" customHeight="1">
      <c r="A34" s="115" t="s">
        <v>103</v>
      </c>
      <c r="B34" s="121"/>
      <c r="C34" s="121"/>
      <c r="D34" s="121"/>
      <c r="E34" s="121"/>
    </row>
    <row r="35" spans="1:5" ht="16.5" customHeight="1">
      <c r="A35" s="118" t="s">
        <v>98</v>
      </c>
      <c r="B35" s="100"/>
      <c r="C35" s="100"/>
      <c r="D35" s="121"/>
      <c r="E35" s="100"/>
    </row>
    <row r="36" spans="1:5" ht="16.5" customHeight="1">
      <c r="A36" s="118" t="s">
        <v>131</v>
      </c>
      <c r="B36" s="100">
        <v>11</v>
      </c>
      <c r="C36" s="100">
        <v>270</v>
      </c>
      <c r="D36" s="121"/>
      <c r="E36" s="100">
        <v>274</v>
      </c>
    </row>
    <row r="37" spans="1:5" ht="16.5" customHeight="1" thickBot="1">
      <c r="A37" s="118" t="s">
        <v>116</v>
      </c>
      <c r="B37" s="100">
        <v>12</v>
      </c>
      <c r="C37" s="100">
        <v>61</v>
      </c>
      <c r="D37" s="121"/>
      <c r="E37" s="100">
        <v>61</v>
      </c>
    </row>
    <row r="38" spans="1:5" ht="16.5" customHeight="1" thickBot="1">
      <c r="A38" s="71"/>
      <c r="B38" s="101"/>
      <c r="C38" s="101">
        <f>SUM(C35:D37)</f>
        <v>331</v>
      </c>
      <c r="D38" s="78">
        <f>SUM(D31:D35)</f>
        <v>81501.76</v>
      </c>
      <c r="E38" s="101">
        <f>SUM(E35:F37)</f>
        <v>335</v>
      </c>
    </row>
    <row r="39" spans="1:5" ht="16.5" customHeight="1">
      <c r="A39" s="119"/>
      <c r="B39" s="121"/>
      <c r="C39" s="121"/>
      <c r="D39" s="121"/>
      <c r="E39" s="121"/>
    </row>
    <row r="40" spans="1:5" ht="16.5" customHeight="1">
      <c r="A40" s="115" t="s">
        <v>22</v>
      </c>
      <c r="B40" s="92"/>
      <c r="C40" s="92"/>
      <c r="D40" s="92"/>
      <c r="E40" s="92"/>
    </row>
    <row r="41" spans="1:5" ht="16.5" customHeight="1" hidden="1">
      <c r="A41" s="117" t="s">
        <v>98</v>
      </c>
      <c r="B41" s="100"/>
      <c r="C41" s="100"/>
      <c r="D41" s="92"/>
      <c r="E41" s="100"/>
    </row>
    <row r="42" spans="1:5" ht="16.5" customHeight="1" hidden="1">
      <c r="A42" s="117" t="s">
        <v>99</v>
      </c>
      <c r="B42" s="100"/>
      <c r="C42" s="100">
        <v>0</v>
      </c>
      <c r="D42" s="92"/>
      <c r="E42" s="100"/>
    </row>
    <row r="43" spans="1:5" ht="16.5" customHeight="1">
      <c r="A43" s="117" t="s">
        <v>23</v>
      </c>
      <c r="B43" s="150">
        <v>13.1</v>
      </c>
      <c r="C43" s="100">
        <f>20-3</f>
        <v>17</v>
      </c>
      <c r="D43" s="100">
        <f>5200</f>
        <v>5200</v>
      </c>
      <c r="E43" s="100">
        <v>8</v>
      </c>
    </row>
    <row r="44" spans="1:5" ht="16.5" customHeight="1">
      <c r="A44" s="117" t="s">
        <v>130</v>
      </c>
      <c r="B44" s="100">
        <v>20</v>
      </c>
      <c r="C44" s="100">
        <f>303+3</f>
        <v>306</v>
      </c>
      <c r="D44" s="100"/>
      <c r="E44" s="100">
        <v>336</v>
      </c>
    </row>
    <row r="45" spans="1:5" ht="16.5" customHeight="1">
      <c r="A45" s="117" t="s">
        <v>24</v>
      </c>
      <c r="B45" s="150">
        <v>13.2</v>
      </c>
      <c r="C45" s="100">
        <v>1</v>
      </c>
      <c r="D45" s="100">
        <v>1873.1</v>
      </c>
      <c r="E45" s="100">
        <v>39</v>
      </c>
    </row>
    <row r="46" spans="1:4" ht="16.5" customHeight="1">
      <c r="A46" s="117" t="s">
        <v>25</v>
      </c>
      <c r="B46" s="151"/>
      <c r="D46" s="92"/>
    </row>
    <row r="47" spans="1:5" ht="16.5" customHeight="1">
      <c r="A47" s="117" t="s">
        <v>26</v>
      </c>
      <c r="B47" s="150">
        <v>13.3</v>
      </c>
      <c r="C47" s="100">
        <v>8</v>
      </c>
      <c r="D47" s="100">
        <f>1162.08+543.2+517.6</f>
        <v>2222.88</v>
      </c>
      <c r="E47" s="100"/>
    </row>
    <row r="48" spans="1:5" ht="16.5" customHeight="1" thickBot="1">
      <c r="A48" s="117" t="s">
        <v>27</v>
      </c>
      <c r="B48" s="150">
        <v>13.4</v>
      </c>
      <c r="C48" s="81" t="s">
        <v>110</v>
      </c>
      <c r="D48" s="100">
        <v>864.64</v>
      </c>
      <c r="E48" s="100">
        <v>12</v>
      </c>
    </row>
    <row r="49" spans="1:5" ht="16.5" customHeight="1" thickBot="1">
      <c r="A49" s="58"/>
      <c r="B49" s="78"/>
      <c r="C49" s="78">
        <f>SUM(C41:C48)</f>
        <v>332</v>
      </c>
      <c r="D49" s="78">
        <f>SUM(D43:D48)</f>
        <v>10160.619999999999</v>
      </c>
      <c r="E49" s="78">
        <f>SUM(E41:E48)</f>
        <v>395</v>
      </c>
    </row>
    <row r="50" spans="1:5" ht="16.5" customHeight="1" thickBot="1">
      <c r="A50" s="120" t="s">
        <v>28</v>
      </c>
      <c r="B50" s="101"/>
      <c r="C50" s="101">
        <f>C49+C32+C38</f>
        <v>8511</v>
      </c>
      <c r="D50" s="122">
        <f>D49+D32</f>
        <v>115375.15</v>
      </c>
      <c r="E50" s="101">
        <f>E49+E32+E38</f>
        <v>8903</v>
      </c>
    </row>
    <row r="52" spans="1:5" ht="15.75" customHeight="1">
      <c r="A52" s="31" t="s">
        <v>62</v>
      </c>
      <c r="B52" s="158" t="s">
        <v>63</v>
      </c>
      <c r="C52" s="158"/>
      <c r="D52" s="158"/>
      <c r="E52" s="158"/>
    </row>
    <row r="53" spans="1:5" ht="15.75" customHeight="1">
      <c r="A53" s="157" t="s">
        <v>137</v>
      </c>
      <c r="B53" s="154" t="s">
        <v>138</v>
      </c>
      <c r="C53" s="154"/>
      <c r="D53" s="154"/>
      <c r="E53" s="154"/>
    </row>
    <row r="54" spans="1:5" ht="15.75" customHeight="1">
      <c r="A54" s="157"/>
      <c r="B54" s="154"/>
      <c r="C54" s="154"/>
      <c r="D54" s="154"/>
      <c r="E54" s="154"/>
    </row>
    <row r="55" spans="1:4" ht="15.75" customHeight="1">
      <c r="A55" s="31" t="s">
        <v>135</v>
      </c>
      <c r="B55" s="158"/>
      <c r="C55" s="158"/>
      <c r="D55" s="158"/>
    </row>
  </sheetData>
  <sheetProtection/>
  <mergeCells count="6">
    <mergeCell ref="B55:D55"/>
    <mergeCell ref="B52:E52"/>
    <mergeCell ref="B53:E54"/>
    <mergeCell ref="A1:D1"/>
    <mergeCell ref="A3:D3"/>
    <mergeCell ref="A53:A54"/>
  </mergeCells>
  <printOptions/>
  <pageMargins left="0.7479166666666667" right="0.7479166666666667" top="0.39" bottom="0.4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D46" sqref="D46"/>
    </sheetView>
  </sheetViews>
  <sheetFormatPr defaultColWidth="9.140625" defaultRowHeight="12.75"/>
  <cols>
    <col min="1" max="1" width="34.28125" style="0" customWidth="1"/>
    <col min="2" max="2" width="14.140625" style="0" customWidth="1"/>
    <col min="3" max="3" width="18.421875" style="0" customWidth="1"/>
    <col min="4" max="4" width="17.00390625" style="0" customWidth="1"/>
    <col min="5" max="5" width="12.140625" style="0" customWidth="1"/>
  </cols>
  <sheetData>
    <row r="1" spans="1:4" ht="23.25">
      <c r="A1" s="159" t="s">
        <v>127</v>
      </c>
      <c r="B1" s="159"/>
      <c r="C1" s="159"/>
      <c r="D1" s="159"/>
    </row>
    <row r="2" ht="12.75">
      <c r="D2" s="15"/>
    </row>
    <row r="3" spans="1:4" ht="21">
      <c r="A3" s="160" t="s">
        <v>29</v>
      </c>
      <c r="B3" s="160"/>
      <c r="C3" s="160"/>
      <c r="D3" s="160"/>
    </row>
    <row r="4" spans="1:4" ht="21">
      <c r="A4" s="3"/>
      <c r="B4" s="3"/>
      <c r="C4" s="3"/>
      <c r="D4" s="16"/>
    </row>
    <row r="5" spans="1:4" ht="22.5" customHeight="1" thickBot="1">
      <c r="A5" s="4"/>
      <c r="B5" s="5" t="s">
        <v>4</v>
      </c>
      <c r="C5" s="146">
        <v>42185</v>
      </c>
      <c r="D5" s="147">
        <v>41820</v>
      </c>
    </row>
    <row r="6" spans="1:4" ht="22.5" customHeight="1">
      <c r="A6" s="6" t="s">
        <v>5</v>
      </c>
      <c r="B6" s="4"/>
      <c r="C6" s="4"/>
      <c r="D6" s="4"/>
    </row>
    <row r="7" spans="1:4" ht="22.5" customHeight="1">
      <c r="A7" s="7" t="s">
        <v>31</v>
      </c>
      <c r="B7" s="17"/>
      <c r="C7" s="18"/>
      <c r="D7" s="19"/>
    </row>
    <row r="8" spans="1:4" ht="22.5" customHeight="1">
      <c r="A8" s="9" t="s">
        <v>32</v>
      </c>
      <c r="B8" s="19">
        <v>13</v>
      </c>
      <c r="C8" s="10">
        <v>273</v>
      </c>
      <c r="D8" s="10">
        <v>93</v>
      </c>
    </row>
    <row r="9" spans="1:4" ht="22.5" customHeight="1">
      <c r="A9" s="9" t="s">
        <v>35</v>
      </c>
      <c r="B9" s="19">
        <v>14</v>
      </c>
      <c r="C9" s="19">
        <v>-29</v>
      </c>
      <c r="D9" s="19">
        <v>-38</v>
      </c>
    </row>
    <row r="10" spans="1:4" ht="22.5" customHeight="1">
      <c r="A10" s="9" t="s">
        <v>37</v>
      </c>
      <c r="B10" s="19">
        <v>15</v>
      </c>
      <c r="C10" s="19">
        <v>-23</v>
      </c>
      <c r="D10" s="19">
        <v>-26</v>
      </c>
    </row>
    <row r="11" spans="1:4" ht="22.5" customHeight="1">
      <c r="A11" s="9" t="s">
        <v>39</v>
      </c>
      <c r="B11" s="19">
        <v>15</v>
      </c>
      <c r="C11" s="19">
        <v>-2</v>
      </c>
      <c r="D11" s="19">
        <v>-2</v>
      </c>
    </row>
    <row r="12" spans="1:4" ht="22.5" customHeight="1">
      <c r="A12" s="9" t="s">
        <v>40</v>
      </c>
      <c r="B12" s="19">
        <v>16</v>
      </c>
      <c r="C12" s="10">
        <v>-15</v>
      </c>
      <c r="D12" s="10">
        <v>-27</v>
      </c>
    </row>
    <row r="13" spans="1:4" ht="22.5" customHeight="1">
      <c r="A13" s="9" t="s">
        <v>134</v>
      </c>
      <c r="B13" s="19"/>
      <c r="C13" s="10">
        <v>-154</v>
      </c>
      <c r="D13" s="10">
        <v>0</v>
      </c>
    </row>
    <row r="14" spans="1:4" ht="19.5" customHeight="1">
      <c r="A14" s="9" t="s">
        <v>100</v>
      </c>
      <c r="B14" s="84" t="s">
        <v>125</v>
      </c>
      <c r="C14" s="19">
        <v>-675</v>
      </c>
      <c r="D14" s="19">
        <v>-7</v>
      </c>
    </row>
    <row r="15" spans="1:4" ht="22.5" customHeight="1" thickBot="1">
      <c r="A15" s="9" t="s">
        <v>101</v>
      </c>
      <c r="B15" s="103" t="s">
        <v>118</v>
      </c>
      <c r="C15" s="19">
        <v>300</v>
      </c>
      <c r="D15" s="19">
        <v>56</v>
      </c>
    </row>
    <row r="16" spans="1:4" ht="34.5" customHeight="1" thickBot="1">
      <c r="A16" s="14" t="s">
        <v>43</v>
      </c>
      <c r="B16" s="10" t="s">
        <v>115</v>
      </c>
      <c r="C16" s="22">
        <f>SUM(C8:C15)</f>
        <v>-325</v>
      </c>
      <c r="D16" s="22">
        <f>SUM(D8:D15)</f>
        <v>49</v>
      </c>
    </row>
    <row r="17" spans="1:4" ht="18" customHeight="1" thickBot="1">
      <c r="A17" s="5" t="s">
        <v>96</v>
      </c>
      <c r="B17" s="102"/>
      <c r="C17" s="22"/>
      <c r="D17" s="22"/>
    </row>
    <row r="18" spans="1:4" ht="18" customHeight="1" thickBot="1">
      <c r="A18" s="59" t="s">
        <v>97</v>
      </c>
      <c r="B18" s="104"/>
      <c r="C18" s="22"/>
      <c r="D18" s="22"/>
    </row>
    <row r="19" spans="1:4" ht="22.5" customHeight="1" thickBot="1">
      <c r="A19" s="23" t="s">
        <v>44</v>
      </c>
      <c r="C19" s="22">
        <f>C16-C17-C18</f>
        <v>-325</v>
      </c>
      <c r="D19" s="22">
        <f>D16-D17-D18</f>
        <v>49</v>
      </c>
    </row>
    <row r="20" spans="1:4" ht="22.5" customHeight="1" thickBot="1">
      <c r="A20" s="4"/>
      <c r="B20" s="21"/>
      <c r="C20" s="12"/>
      <c r="D20" s="22"/>
    </row>
    <row r="21" spans="1:4" ht="26.25" thickBot="1">
      <c r="A21" s="14" t="s">
        <v>19</v>
      </c>
      <c r="B21" s="24"/>
      <c r="C21" s="65">
        <f>C19</f>
        <v>-325</v>
      </c>
      <c r="D21" s="65">
        <f>D19</f>
        <v>49</v>
      </c>
    </row>
    <row r="22" ht="12.75">
      <c r="A22" s="15"/>
    </row>
    <row r="24" spans="1:4" ht="15.75">
      <c r="A24" s="25" t="s">
        <v>45</v>
      </c>
      <c r="B24" s="26"/>
      <c r="C24" s="152">
        <f>C19/'Баланс нов'!C27</f>
        <v>-0.06577615867233354</v>
      </c>
      <c r="D24" s="153">
        <v>0.01</v>
      </c>
    </row>
    <row r="26" spans="1:5" ht="15.75" customHeight="1">
      <c r="A26" s="31" t="s">
        <v>62</v>
      </c>
      <c r="B26" s="161" t="s">
        <v>136</v>
      </c>
      <c r="C26" s="161"/>
      <c r="D26" s="161"/>
      <c r="E26" s="161"/>
    </row>
    <row r="27" spans="1:5" ht="15.75" customHeight="1">
      <c r="A27" s="157" t="s">
        <v>137</v>
      </c>
      <c r="B27" s="157" t="s">
        <v>138</v>
      </c>
      <c r="C27" s="157"/>
      <c r="D27" s="157"/>
      <c r="E27" s="157"/>
    </row>
    <row r="28" spans="1:5" ht="15.75" customHeight="1">
      <c r="A28" s="157"/>
      <c r="B28" s="157"/>
      <c r="C28" s="157"/>
      <c r="D28" s="157"/>
      <c r="E28" s="157"/>
    </row>
    <row r="29" spans="1:4" ht="15.75" customHeight="1">
      <c r="A29" s="31" t="s">
        <v>135</v>
      </c>
      <c r="B29" s="158"/>
      <c r="C29" s="158"/>
      <c r="D29" s="158"/>
    </row>
  </sheetData>
  <sheetProtection/>
  <mergeCells count="6">
    <mergeCell ref="A27:A28"/>
    <mergeCell ref="B29:D29"/>
    <mergeCell ref="A1:D1"/>
    <mergeCell ref="A3:D3"/>
    <mergeCell ref="B26:E26"/>
    <mergeCell ref="B27:E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D44" sqref="D44"/>
    </sheetView>
  </sheetViews>
  <sheetFormatPr defaultColWidth="9.140625" defaultRowHeight="12.75"/>
  <cols>
    <col min="1" max="1" width="50.00390625" style="0" customWidth="1"/>
    <col min="2" max="2" width="6.57421875" style="0" customWidth="1"/>
    <col min="3" max="3" width="13.140625" style="13" customWidth="1"/>
    <col min="4" max="4" width="17.00390625" style="13" customWidth="1"/>
  </cols>
  <sheetData>
    <row r="1" spans="1:4" ht="23.25">
      <c r="A1" s="159" t="s">
        <v>127</v>
      </c>
      <c r="B1" s="159"/>
      <c r="C1" s="159"/>
      <c r="D1" s="159"/>
    </row>
    <row r="2" spans="1:4" ht="21">
      <c r="A2" s="166" t="s">
        <v>46</v>
      </c>
      <c r="B2" s="166"/>
      <c r="C2" s="166"/>
      <c r="D2" s="166"/>
    </row>
    <row r="5" ht="13.5" thickBot="1"/>
    <row r="6" spans="1:4" ht="39" thickBot="1">
      <c r="A6" s="4"/>
      <c r="B6" s="59" t="s">
        <v>4</v>
      </c>
      <c r="C6" s="146">
        <v>42185</v>
      </c>
      <c r="D6" s="146">
        <v>41820</v>
      </c>
    </row>
    <row r="7" spans="1:4" ht="38.25" customHeight="1">
      <c r="A7" s="6" t="s">
        <v>5</v>
      </c>
      <c r="B7" s="29"/>
      <c r="C7" s="12"/>
      <c r="D7" s="12"/>
    </row>
    <row r="8" spans="1:4" ht="15" customHeight="1">
      <c r="A8" s="7" t="s">
        <v>47</v>
      </c>
      <c r="B8" s="30"/>
      <c r="C8" s="19"/>
      <c r="D8" s="19"/>
    </row>
    <row r="9" spans="1:4" ht="15" customHeight="1">
      <c r="A9" s="9" t="s">
        <v>48</v>
      </c>
      <c r="B9" s="30"/>
      <c r="C9" s="10">
        <v>322</v>
      </c>
      <c r="D9" s="19">
        <v>208</v>
      </c>
    </row>
    <row r="10" spans="1:4" ht="15" customHeight="1">
      <c r="A10" s="9" t="s">
        <v>49</v>
      </c>
      <c r="B10" s="30"/>
      <c r="C10" s="19">
        <v>-79</v>
      </c>
      <c r="D10" s="19">
        <v>-205</v>
      </c>
    </row>
    <row r="11" spans="1:4" ht="15" customHeight="1">
      <c r="A11" s="9" t="s">
        <v>50</v>
      </c>
      <c r="B11" s="57"/>
      <c r="C11" s="10">
        <v>-28</v>
      </c>
      <c r="D11" s="19">
        <v>-30</v>
      </c>
    </row>
    <row r="12" spans="1:4" ht="15" customHeight="1" thickBot="1">
      <c r="A12" s="9" t="s">
        <v>102</v>
      </c>
      <c r="B12" s="107"/>
      <c r="C12" s="10">
        <v>-88</v>
      </c>
      <c r="D12" s="19"/>
    </row>
    <row r="13" spans="1:4" ht="15" customHeight="1" thickBot="1">
      <c r="A13" s="9" t="s">
        <v>51</v>
      </c>
      <c r="B13" s="79"/>
      <c r="C13" s="82">
        <v>6</v>
      </c>
      <c r="D13" s="82">
        <v>-18</v>
      </c>
    </row>
    <row r="14" spans="1:4" ht="15" customHeight="1" thickBot="1">
      <c r="A14" s="5" t="s">
        <v>52</v>
      </c>
      <c r="B14" s="57"/>
      <c r="C14" s="11">
        <f>SUM(C8:C13)</f>
        <v>133</v>
      </c>
      <c r="D14" s="11">
        <f>SUM(D8:D13)</f>
        <v>-45</v>
      </c>
    </row>
    <row r="15" spans="1:4" ht="15" customHeight="1" thickBot="1">
      <c r="A15" s="5" t="s">
        <v>53</v>
      </c>
      <c r="B15" s="165"/>
      <c r="C15" s="67"/>
      <c r="D15" s="12"/>
    </row>
    <row r="16" spans="1:4" ht="15" customHeight="1">
      <c r="A16" s="9" t="s">
        <v>54</v>
      </c>
      <c r="B16" s="165"/>
      <c r="C16" s="19">
        <v>1251</v>
      </c>
      <c r="D16" s="19"/>
    </row>
    <row r="17" spans="1:4" ht="15" customHeight="1" thickBot="1">
      <c r="A17" s="9" t="s">
        <v>55</v>
      </c>
      <c r="B17" s="165"/>
      <c r="C17" s="68">
        <v>-1545</v>
      </c>
      <c r="D17" s="68"/>
    </row>
    <row r="18" spans="1:5" ht="15" customHeight="1" thickBot="1">
      <c r="A18" s="9" t="s">
        <v>104</v>
      </c>
      <c r="B18" s="165"/>
      <c r="C18" s="19">
        <v>81</v>
      </c>
      <c r="D18" s="109">
        <v>4</v>
      </c>
      <c r="E18" s="47"/>
    </row>
    <row r="19" spans="1:5" ht="15" customHeight="1" thickBot="1">
      <c r="A19" s="9" t="s">
        <v>105</v>
      </c>
      <c r="B19" s="165"/>
      <c r="C19" s="10">
        <v>-78</v>
      </c>
      <c r="D19" s="68"/>
      <c r="E19" s="47"/>
    </row>
    <row r="20" spans="1:5" ht="15" customHeight="1" thickBot="1">
      <c r="A20" s="9" t="s">
        <v>108</v>
      </c>
      <c r="B20" s="165"/>
      <c r="C20" s="82">
        <v>10</v>
      </c>
      <c r="D20" s="68">
        <v>7</v>
      </c>
      <c r="E20" s="47"/>
    </row>
    <row r="21" spans="1:4" ht="15" customHeight="1" thickBot="1">
      <c r="A21" s="9" t="s">
        <v>56</v>
      </c>
      <c r="B21" s="165"/>
      <c r="C21" s="68">
        <v>0</v>
      </c>
      <c r="D21" s="109" t="s">
        <v>110</v>
      </c>
    </row>
    <row r="22" spans="1:4" ht="15" customHeight="1" thickBot="1">
      <c r="A22" s="5" t="s">
        <v>57</v>
      </c>
      <c r="B22" s="58"/>
      <c r="C22" s="65">
        <f>SUM(C15:C21)</f>
        <v>-281</v>
      </c>
      <c r="D22" s="65">
        <f>SUM(D15:D21)</f>
        <v>11</v>
      </c>
    </row>
    <row r="23" spans="1:4" ht="15" customHeight="1">
      <c r="A23" s="5" t="s">
        <v>58</v>
      </c>
      <c r="B23" s="167"/>
      <c r="C23" s="20"/>
      <c r="D23" s="12"/>
    </row>
    <row r="24" spans="1:5" ht="15" customHeight="1">
      <c r="A24" s="62" t="s">
        <v>107</v>
      </c>
      <c r="B24" s="168"/>
      <c r="C24" s="98">
        <v>1</v>
      </c>
      <c r="D24" s="20"/>
      <c r="E24" s="39"/>
    </row>
    <row r="25" spans="1:5" ht="15" customHeight="1">
      <c r="A25" s="62" t="s">
        <v>106</v>
      </c>
      <c r="B25" s="168"/>
      <c r="C25" s="98">
        <v>0</v>
      </c>
      <c r="D25" s="98">
        <v>-63</v>
      </c>
      <c r="E25" s="39"/>
    </row>
    <row r="26" spans="1:5" ht="15" customHeight="1">
      <c r="A26" s="9" t="s">
        <v>109</v>
      </c>
      <c r="B26" s="168"/>
      <c r="C26" s="98">
        <v>-1</v>
      </c>
      <c r="D26" s="20">
        <v>-1</v>
      </c>
      <c r="E26" s="39"/>
    </row>
    <row r="27" spans="1:5" ht="15" customHeight="1" thickBot="1">
      <c r="A27" s="9" t="s">
        <v>113</v>
      </c>
      <c r="B27" s="57"/>
      <c r="C27" s="98">
        <v>1</v>
      </c>
      <c r="D27" s="98">
        <v>-5</v>
      </c>
      <c r="E27" s="39"/>
    </row>
    <row r="28" spans="1:4" ht="15" customHeight="1" thickBot="1">
      <c r="A28" s="59" t="s">
        <v>59</v>
      </c>
      <c r="B28" s="71"/>
      <c r="C28" s="65">
        <f>SUM(C23:C27)</f>
        <v>1</v>
      </c>
      <c r="D28" s="73">
        <f>SUM(D24:D27)</f>
        <v>-69</v>
      </c>
    </row>
    <row r="29" spans="1:4" ht="15" customHeight="1" thickBot="1">
      <c r="A29" s="162" t="s">
        <v>60</v>
      </c>
      <c r="B29" s="164"/>
      <c r="C29" s="72">
        <f>C14+C22+C28</f>
        <v>-147</v>
      </c>
      <c r="D29" s="72">
        <f>D14+D22+D28</f>
        <v>-103</v>
      </c>
    </row>
    <row r="30" spans="1:4" ht="14.25" customHeight="1" thickBot="1">
      <c r="A30" s="163"/>
      <c r="B30" s="165"/>
      <c r="C30" s="69">
        <v>295</v>
      </c>
      <c r="D30" s="69">
        <v>441</v>
      </c>
    </row>
    <row r="31" spans="1:4" ht="15" customHeight="1">
      <c r="A31" s="59" t="s">
        <v>61</v>
      </c>
      <c r="B31" s="71"/>
      <c r="C31" s="65">
        <f>C30+C29</f>
        <v>148</v>
      </c>
      <c r="D31" s="65">
        <f>D30+D29</f>
        <v>338</v>
      </c>
    </row>
    <row r="34" spans="1:5" ht="15.75" customHeight="1">
      <c r="A34" s="31" t="s">
        <v>62</v>
      </c>
      <c r="B34" s="161" t="s">
        <v>139</v>
      </c>
      <c r="C34" s="161"/>
      <c r="D34" s="161"/>
      <c r="E34" s="161"/>
    </row>
    <row r="35" spans="1:5" ht="15.75" customHeight="1">
      <c r="A35" s="157" t="s">
        <v>137</v>
      </c>
      <c r="B35" s="154" t="s">
        <v>138</v>
      </c>
      <c r="C35" s="154"/>
      <c r="D35" s="154"/>
      <c r="E35" s="154"/>
    </row>
    <row r="36" spans="1:5" ht="15.75" customHeight="1">
      <c r="A36" s="157"/>
      <c r="B36" s="154"/>
      <c r="C36" s="154"/>
      <c r="D36" s="154"/>
      <c r="E36" s="154"/>
    </row>
    <row r="37" spans="1:4" ht="15.75" customHeight="1">
      <c r="A37" s="31" t="s">
        <v>135</v>
      </c>
      <c r="B37" s="158"/>
      <c r="C37" s="158"/>
      <c r="D37" s="158"/>
    </row>
  </sheetData>
  <sheetProtection/>
  <mergeCells count="10">
    <mergeCell ref="B34:E34"/>
    <mergeCell ref="B35:E36"/>
    <mergeCell ref="B37:D37"/>
    <mergeCell ref="A1:D1"/>
    <mergeCell ref="A29:A30"/>
    <mergeCell ref="B29:B30"/>
    <mergeCell ref="A2:D2"/>
    <mergeCell ref="B15:B21"/>
    <mergeCell ref="B23:B26"/>
    <mergeCell ref="A35:A36"/>
  </mergeCells>
  <printOptions/>
  <pageMargins left="0.7479166666666667" right="0.7479166666666667" top="0.42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I38" sqref="I38"/>
    </sheetView>
  </sheetViews>
  <sheetFormatPr defaultColWidth="9.140625" defaultRowHeight="12.75"/>
  <cols>
    <col min="1" max="1" width="23.28125" style="0" customWidth="1"/>
    <col min="2" max="2" width="7.28125" style="0" customWidth="1"/>
    <col min="3" max="3" width="6.57421875" style="0" customWidth="1"/>
    <col min="6" max="6" width="7.140625" style="0" customWidth="1"/>
    <col min="7" max="7" width="7.00390625" style="0" customWidth="1"/>
    <col min="8" max="8" width="9.421875" style="0" customWidth="1"/>
    <col min="9" max="9" width="10.57421875" style="0" customWidth="1"/>
  </cols>
  <sheetData>
    <row r="1" spans="1:9" ht="23.25">
      <c r="A1" s="171" t="s">
        <v>127</v>
      </c>
      <c r="B1" s="171"/>
      <c r="C1" s="171"/>
      <c r="D1" s="171"/>
      <c r="E1" s="171"/>
      <c r="F1" s="171"/>
      <c r="G1" s="171"/>
      <c r="H1" s="171"/>
      <c r="I1" s="171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21">
      <c r="A3" s="166" t="s">
        <v>64</v>
      </c>
      <c r="B3" s="166"/>
      <c r="C3" s="166"/>
      <c r="D3" s="166"/>
      <c r="E3" s="166"/>
      <c r="F3" s="166"/>
      <c r="G3" s="166"/>
      <c r="H3" s="166"/>
      <c r="I3" s="166"/>
    </row>
    <row r="4" spans="1:9" ht="1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2.75" customHeight="1" thickBot="1">
      <c r="A5" s="12"/>
      <c r="B5" s="89" t="s">
        <v>65</v>
      </c>
      <c r="C5" s="89" t="s">
        <v>66</v>
      </c>
      <c r="D5" s="172" t="s">
        <v>17</v>
      </c>
      <c r="E5" s="172"/>
      <c r="F5" s="173" t="s">
        <v>67</v>
      </c>
      <c r="G5" s="173"/>
      <c r="H5" s="89" t="s">
        <v>68</v>
      </c>
      <c r="I5" s="89" t="s">
        <v>69</v>
      </c>
    </row>
    <row r="6" spans="1:9" ht="12.75" customHeight="1" thickBot="1">
      <c r="A6" s="64" t="s">
        <v>5</v>
      </c>
      <c r="B6" s="64" t="s">
        <v>70</v>
      </c>
      <c r="C6" s="64" t="s">
        <v>71</v>
      </c>
      <c r="D6" s="64" t="s">
        <v>72</v>
      </c>
      <c r="E6" s="90" t="s">
        <v>73</v>
      </c>
      <c r="F6" s="169" t="s">
        <v>74</v>
      </c>
      <c r="G6" s="169"/>
      <c r="H6" s="64" t="s">
        <v>75</v>
      </c>
      <c r="I6" s="64" t="s">
        <v>76</v>
      </c>
    </row>
    <row r="7" spans="1:9" ht="12.75" customHeight="1" thickBot="1">
      <c r="A7" s="170"/>
      <c r="B7" s="169" t="s">
        <v>77</v>
      </c>
      <c r="C7" s="169" t="s">
        <v>76</v>
      </c>
      <c r="D7" s="64" t="s">
        <v>78</v>
      </c>
      <c r="E7" s="169" t="s">
        <v>79</v>
      </c>
      <c r="F7" s="89" t="s">
        <v>80</v>
      </c>
      <c r="G7" s="89" t="s">
        <v>81</v>
      </c>
      <c r="H7" s="64" t="s">
        <v>82</v>
      </c>
      <c r="I7" s="170"/>
    </row>
    <row r="8" spans="1:9" ht="13.5" thickBot="1">
      <c r="A8" s="170"/>
      <c r="B8" s="169"/>
      <c r="C8" s="169"/>
      <c r="D8" s="91"/>
      <c r="E8" s="169"/>
      <c r="F8" s="64" t="s">
        <v>83</v>
      </c>
      <c r="G8" s="64" t="s">
        <v>75</v>
      </c>
      <c r="H8" s="64" t="s">
        <v>84</v>
      </c>
      <c r="I8" s="170"/>
    </row>
    <row r="9" spans="1:9" ht="13.5" thickBot="1">
      <c r="A9" s="94" t="s">
        <v>85</v>
      </c>
      <c r="B9" s="94">
        <v>1</v>
      </c>
      <c r="C9" s="94">
        <v>2</v>
      </c>
      <c r="D9" s="94">
        <v>3</v>
      </c>
      <c r="E9" s="94">
        <v>4</v>
      </c>
      <c r="F9" s="94">
        <v>5</v>
      </c>
      <c r="G9" s="94">
        <v>6</v>
      </c>
      <c r="H9" s="94">
        <v>7</v>
      </c>
      <c r="I9" s="94">
        <v>8</v>
      </c>
    </row>
    <row r="10" spans="1:9" ht="12.75">
      <c r="A10" s="90" t="s">
        <v>123</v>
      </c>
      <c r="B10" s="148"/>
      <c r="C10" s="90">
        <v>4792</v>
      </c>
      <c r="D10" s="90">
        <v>373</v>
      </c>
      <c r="E10" s="90">
        <v>6009</v>
      </c>
      <c r="F10" s="90">
        <v>0</v>
      </c>
      <c r="G10" s="90">
        <v>-2102</v>
      </c>
      <c r="H10" s="90">
        <v>-899</v>
      </c>
      <c r="I10" s="90">
        <f aca="true" t="shared" si="0" ref="I10:I23">SUM(C10:H10)</f>
        <v>8173</v>
      </c>
    </row>
    <row r="11" spans="1:9" ht="12.75">
      <c r="A11" s="64" t="s">
        <v>86</v>
      </c>
      <c r="B11" s="92"/>
      <c r="C11" s="8"/>
      <c r="D11" s="8"/>
      <c r="E11" s="8"/>
      <c r="F11" s="8"/>
      <c r="G11" s="8"/>
      <c r="H11" s="8"/>
      <c r="I11" s="90">
        <f t="shared" si="0"/>
        <v>0</v>
      </c>
    </row>
    <row r="12" spans="1:9" ht="12.75">
      <c r="A12" s="64" t="s">
        <v>87</v>
      </c>
      <c r="B12" s="8"/>
      <c r="C12" s="8"/>
      <c r="D12" s="8"/>
      <c r="E12" s="8"/>
      <c r="F12" s="64"/>
      <c r="G12" s="64"/>
      <c r="H12" s="64"/>
      <c r="I12" s="90">
        <f t="shared" si="0"/>
        <v>0</v>
      </c>
    </row>
    <row r="13" spans="1:9" ht="19.5">
      <c r="A13" s="64" t="s">
        <v>88</v>
      </c>
      <c r="B13" s="8"/>
      <c r="C13" s="8"/>
      <c r="D13" s="8"/>
      <c r="E13" s="8"/>
      <c r="F13" s="8"/>
      <c r="G13" s="8"/>
      <c r="H13" s="8"/>
      <c r="I13" s="90">
        <f t="shared" si="0"/>
        <v>0</v>
      </c>
    </row>
    <row r="14" spans="1:9" ht="12.75">
      <c r="A14" s="64" t="s">
        <v>89</v>
      </c>
      <c r="B14" s="8"/>
      <c r="C14" s="8"/>
      <c r="D14" s="64"/>
      <c r="E14" s="64"/>
      <c r="F14" s="8"/>
      <c r="G14" s="64"/>
      <c r="H14" s="8"/>
      <c r="I14" s="90">
        <f t="shared" si="0"/>
        <v>0</v>
      </c>
    </row>
    <row r="15" spans="1:9" ht="12.75">
      <c r="A15" s="64" t="s">
        <v>90</v>
      </c>
      <c r="B15" s="8"/>
      <c r="C15" s="8"/>
      <c r="D15" s="8"/>
      <c r="E15" s="8"/>
      <c r="F15" s="8"/>
      <c r="G15" s="93"/>
      <c r="H15" s="93"/>
      <c r="I15" s="90">
        <f t="shared" si="0"/>
        <v>0</v>
      </c>
    </row>
    <row r="16" spans="1:9" ht="12.75">
      <c r="A16" s="64" t="s">
        <v>91</v>
      </c>
      <c r="B16" s="8"/>
      <c r="C16" s="8"/>
      <c r="D16" s="8"/>
      <c r="E16" s="8"/>
      <c r="F16" s="8"/>
      <c r="G16" s="8"/>
      <c r="H16" s="8"/>
      <c r="I16" s="90">
        <f t="shared" si="0"/>
        <v>0</v>
      </c>
    </row>
    <row r="17" spans="1:9" ht="13.5" thickBot="1">
      <c r="A17" s="64" t="s">
        <v>84</v>
      </c>
      <c r="B17" s="8"/>
      <c r="C17" s="8"/>
      <c r="D17" s="8"/>
      <c r="E17" s="8"/>
      <c r="F17" s="8"/>
      <c r="G17" s="8"/>
      <c r="H17" s="64"/>
      <c r="I17" s="90">
        <f t="shared" si="0"/>
        <v>0</v>
      </c>
    </row>
    <row r="18" spans="1:9" ht="13.5" thickBot="1">
      <c r="A18" s="89" t="s">
        <v>124</v>
      </c>
      <c r="B18" s="77"/>
      <c r="C18" s="89">
        <f aca="true" t="shared" si="1" ref="C18:H18">SUM(C10:C17)</f>
        <v>4792</v>
      </c>
      <c r="D18" s="89">
        <f t="shared" si="1"/>
        <v>373</v>
      </c>
      <c r="E18" s="89">
        <f t="shared" si="1"/>
        <v>6009</v>
      </c>
      <c r="F18" s="89">
        <f t="shared" si="1"/>
        <v>0</v>
      </c>
      <c r="G18" s="89">
        <f t="shared" si="1"/>
        <v>-2102</v>
      </c>
      <c r="H18" s="89">
        <f t="shared" si="1"/>
        <v>-899</v>
      </c>
      <c r="I18" s="94">
        <f t="shared" si="0"/>
        <v>8173</v>
      </c>
    </row>
    <row r="19" spans="1:9" ht="12.75">
      <c r="A19" s="89" t="s">
        <v>92</v>
      </c>
      <c r="B19" s="12"/>
      <c r="C19" s="12"/>
      <c r="D19" s="12"/>
      <c r="E19" s="12"/>
      <c r="F19" s="89"/>
      <c r="G19" s="89">
        <v>-899</v>
      </c>
      <c r="H19" s="89">
        <v>899</v>
      </c>
      <c r="I19" s="90">
        <f t="shared" si="0"/>
        <v>0</v>
      </c>
    </row>
    <row r="20" spans="1:9" ht="12.75">
      <c r="A20" s="64" t="s">
        <v>93</v>
      </c>
      <c r="B20" s="8"/>
      <c r="C20" s="8"/>
      <c r="D20" s="8"/>
      <c r="E20" s="8"/>
      <c r="F20" s="8"/>
      <c r="G20" s="64"/>
      <c r="H20" s="64"/>
      <c r="I20" s="90">
        <f t="shared" si="0"/>
        <v>0</v>
      </c>
    </row>
    <row r="21" spans="1:9" ht="12.75">
      <c r="A21" s="64" t="s">
        <v>91</v>
      </c>
      <c r="B21" s="8"/>
      <c r="C21" s="8"/>
      <c r="D21" s="8"/>
      <c r="E21" s="8"/>
      <c r="F21" s="8"/>
      <c r="G21" s="8"/>
      <c r="H21" s="8"/>
      <c r="I21" s="90">
        <f t="shared" si="0"/>
        <v>0</v>
      </c>
    </row>
    <row r="22" spans="1:9" ht="13.5" thickBot="1">
      <c r="A22" s="64" t="s">
        <v>84</v>
      </c>
      <c r="B22" s="8"/>
      <c r="C22" s="8"/>
      <c r="D22" s="8"/>
      <c r="E22" s="8"/>
      <c r="F22" s="8"/>
      <c r="G22" s="8"/>
      <c r="H22" s="64">
        <f>'Очет за доходите нов'!C21</f>
        <v>-325</v>
      </c>
      <c r="I22" s="90">
        <f t="shared" si="0"/>
        <v>-325</v>
      </c>
    </row>
    <row r="23" spans="1:9" ht="13.5" thickBot="1">
      <c r="A23" s="94" t="s">
        <v>124</v>
      </c>
      <c r="B23" s="96" t="s">
        <v>2</v>
      </c>
      <c r="C23" s="95">
        <f aca="true" t="shared" si="2" ref="C23:H23">SUM(C18:C22)</f>
        <v>4792</v>
      </c>
      <c r="D23" s="95">
        <f t="shared" si="2"/>
        <v>373</v>
      </c>
      <c r="E23" s="95">
        <f t="shared" si="2"/>
        <v>6009</v>
      </c>
      <c r="F23" s="95">
        <f t="shared" si="2"/>
        <v>0</v>
      </c>
      <c r="G23" s="95">
        <f t="shared" si="2"/>
        <v>-3001</v>
      </c>
      <c r="H23" s="95">
        <f t="shared" si="2"/>
        <v>-325</v>
      </c>
      <c r="I23" s="95">
        <f t="shared" si="0"/>
        <v>7848</v>
      </c>
    </row>
    <row r="24" spans="1:9" ht="12.75">
      <c r="A24" s="97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.75" customHeight="1">
      <c r="A26" s="157" t="s">
        <v>62</v>
      </c>
      <c r="B26" s="157"/>
      <c r="C26" s="157"/>
      <c r="E26" s="158" t="s">
        <v>63</v>
      </c>
      <c r="F26" s="158"/>
      <c r="G26" s="158"/>
      <c r="H26" s="158"/>
      <c r="I26" s="158"/>
    </row>
    <row r="27" spans="2:9" ht="15.75" customHeight="1">
      <c r="B27" s="157" t="s">
        <v>137</v>
      </c>
      <c r="C27" s="157"/>
      <c r="D27" s="157"/>
      <c r="F27" s="26"/>
      <c r="G27" s="26"/>
      <c r="H27" s="157" t="s">
        <v>138</v>
      </c>
      <c r="I27" s="157"/>
    </row>
    <row r="28" spans="1:8" ht="15.75" customHeight="1">
      <c r="A28" s="31"/>
      <c r="E28" s="26"/>
      <c r="F28" s="26"/>
      <c r="G28" s="26"/>
      <c r="H28" s="26"/>
    </row>
    <row r="29" spans="1:4" ht="15.75" customHeight="1">
      <c r="A29" s="31" t="s">
        <v>135</v>
      </c>
      <c r="B29" s="158"/>
      <c r="C29" s="158"/>
      <c r="D29" s="158"/>
    </row>
    <row r="30" ht="15.75" customHeight="1">
      <c r="A30" s="31"/>
    </row>
  </sheetData>
  <sheetProtection/>
  <mergeCells count="15">
    <mergeCell ref="B29:D29"/>
    <mergeCell ref="A26:C26"/>
    <mergeCell ref="E26:I26"/>
    <mergeCell ref="I7:I8"/>
    <mergeCell ref="A1:I1"/>
    <mergeCell ref="A3:I3"/>
    <mergeCell ref="D5:E5"/>
    <mergeCell ref="F5:G5"/>
    <mergeCell ref="H27:I27"/>
    <mergeCell ref="B27:D27"/>
    <mergeCell ref="F6:G6"/>
    <mergeCell ref="A7:A8"/>
    <mergeCell ref="B7:B8"/>
    <mergeCell ref="C7:C8"/>
    <mergeCell ref="E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6">
      <selection activeCell="B52" sqref="B52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3.421875" style="40" customWidth="1"/>
    <col min="4" max="4" width="11.57421875" style="0" hidden="1" customWidth="1"/>
  </cols>
  <sheetData>
    <row r="1" spans="1:4" ht="23.25">
      <c r="A1" s="159" t="s">
        <v>127</v>
      </c>
      <c r="B1" s="159"/>
      <c r="C1" s="159"/>
      <c r="D1" s="159"/>
    </row>
    <row r="2" spans="1:4" ht="23.25">
      <c r="A2" s="1"/>
      <c r="B2" s="2"/>
      <c r="C2" s="60"/>
      <c r="D2" s="2"/>
    </row>
    <row r="3" spans="1:4" ht="21">
      <c r="A3" s="160" t="s">
        <v>3</v>
      </c>
      <c r="B3" s="160"/>
      <c r="C3" s="160"/>
      <c r="D3" s="160"/>
    </row>
    <row r="6" spans="1:4" ht="12.75">
      <c r="A6" s="4"/>
      <c r="B6" s="5" t="s">
        <v>4</v>
      </c>
      <c r="C6" s="63" t="s">
        <v>120</v>
      </c>
      <c r="D6" s="5">
        <v>2012</v>
      </c>
    </row>
    <row r="7" spans="1:4" ht="16.5" customHeight="1">
      <c r="A7" s="6" t="s">
        <v>5</v>
      </c>
      <c r="B7" s="4"/>
      <c r="C7" s="123"/>
      <c r="D7" s="4"/>
    </row>
    <row r="8" spans="1:4" ht="16.5" customHeight="1">
      <c r="A8" s="7" t="s">
        <v>6</v>
      </c>
      <c r="B8" s="17"/>
      <c r="C8" s="124"/>
      <c r="D8" s="17"/>
    </row>
    <row r="9" spans="1:4" ht="16.5" customHeight="1">
      <c r="A9" s="7" t="s">
        <v>7</v>
      </c>
      <c r="B9" s="17"/>
      <c r="C9" s="124"/>
      <c r="D9" s="17"/>
    </row>
    <row r="10" spans="1:4" ht="16.5" customHeight="1">
      <c r="A10" s="9" t="s">
        <v>128</v>
      </c>
      <c r="B10" s="17"/>
      <c r="C10" s="125">
        <f>6027.83-49.35-28.87</f>
        <v>5949.61</v>
      </c>
      <c r="D10" s="17"/>
    </row>
    <row r="11" spans="1:4" ht="16.5" customHeight="1">
      <c r="A11" s="9" t="s">
        <v>94</v>
      </c>
      <c r="B11" s="17"/>
      <c r="C11" s="125">
        <f>5213699.97</f>
        <v>5213699.97</v>
      </c>
      <c r="D11" s="17"/>
    </row>
    <row r="12" spans="1:4" ht="16.5" customHeight="1">
      <c r="A12" s="9" t="s">
        <v>0</v>
      </c>
      <c r="B12" s="9"/>
      <c r="C12" s="126">
        <f>796574.08</f>
        <v>796574.08</v>
      </c>
      <c r="D12" s="29"/>
    </row>
    <row r="13" spans="1:4" ht="16.5" customHeight="1" thickBot="1">
      <c r="A13" s="62" t="s">
        <v>8</v>
      </c>
      <c r="B13" s="17"/>
      <c r="C13" s="125">
        <f>89676.26</f>
        <v>89676.26</v>
      </c>
      <c r="D13" s="29">
        <f>80937.55</f>
        <v>80937.55</v>
      </c>
    </row>
    <row r="14" spans="1:4" ht="16.5" customHeight="1" hidden="1">
      <c r="A14" s="62" t="s">
        <v>114</v>
      </c>
      <c r="B14" s="17"/>
      <c r="C14" s="125">
        <v>0</v>
      </c>
      <c r="D14" s="29"/>
    </row>
    <row r="15" spans="1:4" ht="16.5" customHeight="1" hidden="1" thickBot="1">
      <c r="A15" s="9" t="s">
        <v>117</v>
      </c>
      <c r="C15" s="125"/>
      <c r="D15" s="29"/>
    </row>
    <row r="16" spans="1:4" ht="16.5" customHeight="1" hidden="1" thickBot="1">
      <c r="A16" s="9" t="s">
        <v>117</v>
      </c>
      <c r="C16" s="125"/>
      <c r="D16" s="29"/>
    </row>
    <row r="17" spans="1:4" ht="16.5" customHeight="1" thickBot="1">
      <c r="A17" s="4"/>
      <c r="B17" s="4"/>
      <c r="C17" s="127">
        <f>SUM(C10:C15)</f>
        <v>6105899.92</v>
      </c>
      <c r="D17" s="35">
        <f>D13</f>
        <v>80937.55</v>
      </c>
    </row>
    <row r="18" spans="1:4" ht="16.5" customHeight="1">
      <c r="A18" s="5" t="s">
        <v>9</v>
      </c>
      <c r="B18" s="4"/>
      <c r="C18" s="123"/>
      <c r="D18" s="28"/>
    </row>
    <row r="19" spans="1:4" ht="16.5" customHeight="1">
      <c r="A19" s="9" t="s">
        <v>10</v>
      </c>
      <c r="B19" s="9"/>
      <c r="C19" s="126">
        <f>321579.57-273461.16</f>
        <v>48118.41000000003</v>
      </c>
      <c r="D19" s="29">
        <f>1055.35+1350+1030</f>
        <v>3435.35</v>
      </c>
    </row>
    <row r="20" spans="1:4" ht="16.5" customHeight="1">
      <c r="A20" s="9" t="s">
        <v>0</v>
      </c>
      <c r="B20" s="9"/>
      <c r="C20" s="126">
        <f>11038.52+48773.97+3918.7+4500+273461.16</f>
        <v>341692.35</v>
      </c>
      <c r="D20" s="29"/>
    </row>
    <row r="21" spans="1:4" ht="16.5" customHeight="1">
      <c r="A21" s="9" t="s">
        <v>11</v>
      </c>
      <c r="B21" s="9"/>
      <c r="C21" s="126">
        <f>200+20+35127.7+7371.45+41017.94+7471.34+7039.06</f>
        <v>98247.48999999999</v>
      </c>
      <c r="D21" s="29">
        <f>39.64</f>
        <v>39.64</v>
      </c>
    </row>
    <row r="22" spans="1:4" ht="16.5" customHeight="1">
      <c r="A22" s="9" t="s">
        <v>12</v>
      </c>
      <c r="B22" s="9"/>
      <c r="C22" s="126">
        <v>1768750</v>
      </c>
      <c r="D22" s="29"/>
    </row>
    <row r="23" spans="1:4" ht="16.5" customHeight="1" thickBot="1">
      <c r="A23" s="9" t="s">
        <v>13</v>
      </c>
      <c r="B23" s="9"/>
      <c r="C23" s="126">
        <f>6030.25+58169.96+11394.47+72299.92</f>
        <v>147894.59999999998</v>
      </c>
      <c r="D23" s="29">
        <f>10516.36+20446.25</f>
        <v>30962.61</v>
      </c>
    </row>
    <row r="24" spans="1:4" ht="16.5" customHeight="1" thickBot="1">
      <c r="A24" s="4"/>
      <c r="B24" s="4"/>
      <c r="C24" s="128">
        <f>SUM(C19:C23)</f>
        <v>2404702.85</v>
      </c>
      <c r="D24" s="35">
        <f>SUM(D19:D23)</f>
        <v>34437.6</v>
      </c>
    </row>
    <row r="25" spans="1:4" ht="16.5" customHeight="1" thickBot="1">
      <c r="A25" s="5" t="s">
        <v>14</v>
      </c>
      <c r="B25" s="4"/>
      <c r="C25" s="128">
        <f>C24+C17</f>
        <v>8510602.77</v>
      </c>
      <c r="D25" s="35">
        <f>D24+D17</f>
        <v>115375.15</v>
      </c>
    </row>
    <row r="26" spans="1:4" ht="16.5" customHeight="1">
      <c r="A26" s="5" t="s">
        <v>15</v>
      </c>
      <c r="B26" s="4"/>
      <c r="C26" s="129"/>
      <c r="D26" s="28"/>
    </row>
    <row r="27" spans="1:4" ht="16.5" customHeight="1">
      <c r="A27" s="9" t="s">
        <v>16</v>
      </c>
      <c r="B27" s="9"/>
      <c r="C27" s="126">
        <v>4940553</v>
      </c>
      <c r="D27" s="29">
        <v>159758</v>
      </c>
    </row>
    <row r="28" spans="1:4" ht="16.5" customHeight="1">
      <c r="A28" s="9" t="s">
        <v>129</v>
      </c>
      <c r="B28" s="9"/>
      <c r="C28" s="126">
        <v>-148216</v>
      </c>
      <c r="D28" s="29"/>
    </row>
    <row r="29" spans="1:4" ht="16.5" customHeight="1">
      <c r="A29" s="9" t="s">
        <v>17</v>
      </c>
      <c r="B29" s="9"/>
      <c r="C29" s="126">
        <f>82980.11+372880.5+5226433.55+617569+82225.41</f>
        <v>6382088.57</v>
      </c>
      <c r="D29" s="18"/>
    </row>
    <row r="30" spans="1:4" ht="27.75" customHeight="1">
      <c r="A30" s="9" t="s">
        <v>18</v>
      </c>
      <c r="B30" s="9"/>
      <c r="C30" s="126">
        <f>-3002048.82</f>
        <v>-3002048.82</v>
      </c>
      <c r="D30" s="36">
        <f>-30830.7</f>
        <v>-30830.7</v>
      </c>
    </row>
    <row r="31" spans="1:4" ht="16.5" customHeight="1" thickBot="1">
      <c r="A31" s="9" t="s">
        <v>19</v>
      </c>
      <c r="B31" s="9"/>
      <c r="C31" s="126">
        <f>'Отчет за доходите в лева'!C23</f>
        <v>-324585.19000000006</v>
      </c>
      <c r="D31" s="29">
        <f>-23712.77</f>
        <v>-23712.77</v>
      </c>
    </row>
    <row r="32" spans="1:4" ht="16.5" customHeight="1" thickBot="1">
      <c r="A32" s="5" t="s">
        <v>20</v>
      </c>
      <c r="B32" s="4"/>
      <c r="C32" s="128">
        <f>SUM(C27:C31)</f>
        <v>7847791.56</v>
      </c>
      <c r="D32" s="35">
        <f>SUM(D27:D31)</f>
        <v>105214.53</v>
      </c>
    </row>
    <row r="33" spans="1:4" ht="16.5" customHeight="1">
      <c r="A33" s="5" t="s">
        <v>21</v>
      </c>
      <c r="B33" s="4"/>
      <c r="C33" s="129"/>
      <c r="D33" s="28"/>
    </row>
    <row r="34" spans="1:4" ht="16.5" customHeight="1">
      <c r="A34" s="7" t="s">
        <v>103</v>
      </c>
      <c r="B34" s="43"/>
      <c r="C34" s="129"/>
      <c r="D34" s="88"/>
    </row>
    <row r="35" spans="1:4" ht="16.5" customHeight="1" hidden="1">
      <c r="A35" s="62" t="s">
        <v>98</v>
      </c>
      <c r="B35" s="43"/>
      <c r="C35" s="126"/>
      <c r="D35" s="88"/>
    </row>
    <row r="36" spans="1:4" ht="16.5" customHeight="1">
      <c r="A36" s="62" t="s">
        <v>131</v>
      </c>
      <c r="B36" s="43"/>
      <c r="C36" s="126">
        <v>270000</v>
      </c>
      <c r="D36" s="88"/>
    </row>
    <row r="37" spans="1:4" ht="16.5" customHeight="1" thickBot="1">
      <c r="A37" s="62" t="s">
        <v>116</v>
      </c>
      <c r="B37" s="43"/>
      <c r="C37" s="126">
        <f>60692.81</f>
        <v>60692.81</v>
      </c>
      <c r="D37" s="88"/>
    </row>
    <row r="38" spans="1:4" ht="16.5" customHeight="1" thickBot="1">
      <c r="A38" s="75"/>
      <c r="B38" s="75"/>
      <c r="C38" s="66">
        <f>SUM(C35:D37)</f>
        <v>330692.81</v>
      </c>
      <c r="D38" s="35">
        <f>SUM(D31:D35)</f>
        <v>81501.76</v>
      </c>
    </row>
    <row r="39" spans="1:4" ht="16.5" customHeight="1">
      <c r="A39" s="87"/>
      <c r="B39" s="43"/>
      <c r="C39" s="61"/>
      <c r="D39" s="88"/>
    </row>
    <row r="40" spans="1:4" ht="16.5" customHeight="1">
      <c r="A40" s="7" t="s">
        <v>22</v>
      </c>
      <c r="B40" s="17"/>
      <c r="C40" s="52"/>
      <c r="D40" s="18"/>
    </row>
    <row r="41" spans="1:4" ht="16.5" customHeight="1" hidden="1">
      <c r="A41" s="9" t="s">
        <v>98</v>
      </c>
      <c r="B41" s="17"/>
      <c r="C41" s="126"/>
      <c r="D41" s="18"/>
    </row>
    <row r="42" spans="1:4" ht="16.5" customHeight="1" hidden="1">
      <c r="A42" s="9" t="s">
        <v>99</v>
      </c>
      <c r="B42" s="17"/>
      <c r="C42" s="126">
        <v>0</v>
      </c>
      <c r="D42" s="18"/>
    </row>
    <row r="43" spans="1:4" ht="16.5" customHeight="1">
      <c r="A43" s="9" t="s">
        <v>23</v>
      </c>
      <c r="B43" s="9"/>
      <c r="C43" s="126">
        <f>7861.57+288.18+11403.75-2749.45</f>
        <v>16804.05</v>
      </c>
      <c r="D43" s="29">
        <f>5200</f>
        <v>5200</v>
      </c>
    </row>
    <row r="44" spans="1:4" ht="16.5" customHeight="1">
      <c r="A44" s="9" t="s">
        <v>130</v>
      </c>
      <c r="B44" s="9"/>
      <c r="C44" s="126">
        <f>278000+25453.37+2749.45</f>
        <v>306202.82</v>
      </c>
      <c r="D44" s="29"/>
    </row>
    <row r="45" spans="1:4" ht="16.5" customHeight="1">
      <c r="A45" s="9" t="s">
        <v>24</v>
      </c>
      <c r="B45" s="9"/>
      <c r="C45" s="126">
        <v>534.4</v>
      </c>
      <c r="D45" s="29">
        <v>1873.1</v>
      </c>
    </row>
    <row r="46" spans="1:4" ht="16.5" customHeight="1">
      <c r="A46" s="9" t="s">
        <v>25</v>
      </c>
      <c r="B46" s="17"/>
      <c r="C46" s="83"/>
      <c r="D46" s="18"/>
    </row>
    <row r="47" spans="1:4" ht="16.5" customHeight="1">
      <c r="A47" s="9" t="s">
        <v>26</v>
      </c>
      <c r="B47" s="9"/>
      <c r="C47" s="126">
        <f>7514.24+526.33+436.56</f>
        <v>8477.13</v>
      </c>
      <c r="D47" s="29">
        <f>1162.08+543.2+517.6</f>
        <v>2222.88</v>
      </c>
    </row>
    <row r="48" spans="1:4" ht="16.5" customHeight="1" thickBot="1">
      <c r="A48" s="9" t="s">
        <v>27</v>
      </c>
      <c r="B48" s="9"/>
      <c r="C48" s="126">
        <f>100</f>
        <v>100</v>
      </c>
      <c r="D48" s="29">
        <v>864.64</v>
      </c>
    </row>
    <row r="49" spans="1:4" ht="16.5" customHeight="1" thickBot="1">
      <c r="A49" s="4"/>
      <c r="B49" s="4"/>
      <c r="C49" s="74">
        <f>SUM(C41:C48)</f>
        <v>332118.4</v>
      </c>
      <c r="D49" s="35">
        <f>SUM(D43:D48)</f>
        <v>10160.619999999999</v>
      </c>
    </row>
    <row r="50" spans="1:4" ht="16.5" customHeight="1">
      <c r="A50" s="14" t="s">
        <v>28</v>
      </c>
      <c r="B50" s="21"/>
      <c r="C50" s="128">
        <f>C49+C32+C38</f>
        <v>8510602.77</v>
      </c>
      <c r="D50" s="37">
        <f>D49+D32</f>
        <v>115375.15</v>
      </c>
    </row>
    <row r="52" ht="12.75">
      <c r="B52" s="40"/>
    </row>
  </sheetData>
  <sheetProtection/>
  <mergeCells count="2">
    <mergeCell ref="A1:D1"/>
    <mergeCell ref="A3:D3"/>
  </mergeCells>
  <printOptions horizontalCentered="1"/>
  <pageMargins left="0.7479166666666667" right="0.7479166666666667" top="0.5402777777777777" bottom="0.3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8.57421875" style="85" customWidth="1"/>
    <col min="2" max="2" width="22.140625" style="85" customWidth="1"/>
    <col min="3" max="3" width="18.421875" style="85" customWidth="1"/>
    <col min="4" max="4" width="17.00390625" style="85" hidden="1" customWidth="1"/>
    <col min="5" max="6" width="9.140625" style="85" customWidth="1"/>
    <col min="7" max="7" width="12.140625" style="85" customWidth="1"/>
    <col min="8" max="16384" width="9.140625" style="85" customWidth="1"/>
  </cols>
  <sheetData>
    <row r="1" spans="1:4" ht="23.25">
      <c r="A1" s="155" t="s">
        <v>126</v>
      </c>
      <c r="B1" s="155"/>
      <c r="C1" s="155"/>
      <c r="D1" s="155"/>
    </row>
    <row r="2" ht="12.75">
      <c r="D2" s="130"/>
    </row>
    <row r="3" spans="1:4" ht="21">
      <c r="A3" s="156" t="s">
        <v>29</v>
      </c>
      <c r="B3" s="156"/>
      <c r="C3" s="156"/>
      <c r="D3" s="156"/>
    </row>
    <row r="4" spans="1:4" ht="21">
      <c r="A4" s="112"/>
      <c r="B4" s="112"/>
      <c r="C4" s="112"/>
      <c r="D4" s="131"/>
    </row>
    <row r="5" spans="1:4" ht="22.5" customHeight="1">
      <c r="A5" s="58"/>
      <c r="B5" s="113" t="s">
        <v>4</v>
      </c>
      <c r="C5" s="132" t="s">
        <v>119</v>
      </c>
      <c r="D5" s="133" t="s">
        <v>30</v>
      </c>
    </row>
    <row r="6" spans="1:3" ht="22.5" customHeight="1">
      <c r="A6" s="114" t="s">
        <v>5</v>
      </c>
      <c r="B6" s="58"/>
      <c r="C6" s="58"/>
    </row>
    <row r="7" spans="1:4" ht="22.5" customHeight="1">
      <c r="A7" s="115" t="s">
        <v>31</v>
      </c>
      <c r="B7" s="116"/>
      <c r="C7" s="134"/>
      <c r="D7" s="135"/>
    </row>
    <row r="8" spans="1:4" ht="22.5" customHeight="1">
      <c r="A8" s="117" t="s">
        <v>32</v>
      </c>
      <c r="B8" s="117" t="s">
        <v>33</v>
      </c>
      <c r="C8" s="126">
        <f>26414.8+246342.51</f>
        <v>272757.31</v>
      </c>
      <c r="D8" s="136">
        <f>4800</f>
        <v>4800</v>
      </c>
    </row>
    <row r="9" spans="1:4" ht="22.5" customHeight="1" hidden="1">
      <c r="A9" s="117" t="s">
        <v>34</v>
      </c>
      <c r="B9" s="117" t="s">
        <v>33</v>
      </c>
      <c r="C9" s="126"/>
      <c r="D9" s="136"/>
    </row>
    <row r="10" spans="1:4" ht="22.5" customHeight="1">
      <c r="A10" s="117" t="s">
        <v>35</v>
      </c>
      <c r="B10" s="117" t="s">
        <v>36</v>
      </c>
      <c r="C10" s="126">
        <v>-29658.95</v>
      </c>
      <c r="D10" s="137">
        <f>-2789.7</f>
        <v>-2789.7</v>
      </c>
    </row>
    <row r="11" spans="1:4" ht="22.5" customHeight="1">
      <c r="A11" s="117" t="s">
        <v>37</v>
      </c>
      <c r="B11" s="117" t="s">
        <v>38</v>
      </c>
      <c r="C11" s="137">
        <v>-22927.14</v>
      </c>
      <c r="D11" s="136"/>
    </row>
    <row r="12" spans="1:4" ht="22.5" customHeight="1">
      <c r="A12" s="117" t="s">
        <v>39</v>
      </c>
      <c r="B12" s="117" t="s">
        <v>38</v>
      </c>
      <c r="C12" s="126">
        <v>-1742.34</v>
      </c>
      <c r="D12" s="136"/>
    </row>
    <row r="13" spans="1:4" ht="22.5" customHeight="1" hidden="1">
      <c r="A13" s="117" t="s">
        <v>95</v>
      </c>
      <c r="B13" s="117"/>
      <c r="C13" s="126"/>
      <c r="D13" s="136"/>
    </row>
    <row r="14" spans="1:4" ht="22.5" customHeight="1">
      <c r="A14" s="117" t="s">
        <v>40</v>
      </c>
      <c r="B14" s="117" t="s">
        <v>41</v>
      </c>
      <c r="C14" s="126">
        <f>-14768.03-28.87</f>
        <v>-14796.900000000001</v>
      </c>
      <c r="D14" s="136"/>
    </row>
    <row r="15" spans="1:4" ht="22.5" customHeight="1">
      <c r="A15" s="117" t="s">
        <v>132</v>
      </c>
      <c r="B15" s="117"/>
      <c r="C15" s="126">
        <v>-153800.47</v>
      </c>
      <c r="D15" s="136"/>
    </row>
    <row r="16" spans="1:4" ht="22.5" customHeight="1">
      <c r="A16" s="117" t="s">
        <v>100</v>
      </c>
      <c r="B16" s="117" t="s">
        <v>42</v>
      </c>
      <c r="C16" s="126">
        <f>-5549.39-668101.56-918.54-135.39</f>
        <v>-674704.8800000001</v>
      </c>
      <c r="D16" s="83">
        <f>-275</f>
        <v>-275</v>
      </c>
    </row>
    <row r="17" spans="1:4" ht="22.5" customHeight="1" thickBot="1">
      <c r="A17" s="117" t="s">
        <v>101</v>
      </c>
      <c r="B17" s="117" t="s">
        <v>42</v>
      </c>
      <c r="C17" s="126">
        <f>70484.78+228407+1379.32+17.08</f>
        <v>300288.18000000005</v>
      </c>
      <c r="D17" s="83"/>
    </row>
    <row r="18" spans="1:4" ht="34.5" customHeight="1" thickBot="1">
      <c r="A18" s="120" t="s">
        <v>43</v>
      </c>
      <c r="B18" s="108"/>
      <c r="C18" s="138">
        <f>SUM(C8:C17)</f>
        <v>-324585.19000000006</v>
      </c>
      <c r="D18" s="138">
        <f>SUM(D8:D16)</f>
        <v>1735.3000000000002</v>
      </c>
    </row>
    <row r="19" spans="1:5" ht="34.5" customHeight="1" thickBot="1">
      <c r="A19" s="113" t="s">
        <v>96</v>
      </c>
      <c r="B19" s="58"/>
      <c r="C19" s="74"/>
      <c r="D19" s="138"/>
      <c r="E19" s="83"/>
    </row>
    <row r="20" spans="1:5" ht="34.5" customHeight="1" thickBot="1">
      <c r="A20" s="139" t="s">
        <v>97</v>
      </c>
      <c r="B20" s="71"/>
      <c r="C20" s="128"/>
      <c r="D20" s="138"/>
      <c r="E20" s="83"/>
    </row>
    <row r="21" spans="1:4" ht="22.5" customHeight="1" thickBot="1">
      <c r="A21" s="140" t="s">
        <v>44</v>
      </c>
      <c r="C21" s="138">
        <f>C18+C19+C20</f>
        <v>-324585.19000000006</v>
      </c>
      <c r="D21" s="141">
        <f>D18</f>
        <v>1735.3000000000002</v>
      </c>
    </row>
    <row r="22" spans="1:4" ht="22.5" customHeight="1" thickBot="1">
      <c r="A22" s="58"/>
      <c r="B22" s="108"/>
      <c r="C22" s="123"/>
      <c r="D22" s="83"/>
    </row>
    <row r="23" spans="1:4" ht="22.5" customHeight="1">
      <c r="A23" s="120" t="s">
        <v>19</v>
      </c>
      <c r="B23" s="142"/>
      <c r="C23" s="138">
        <f>C21</f>
        <v>-324585.19000000006</v>
      </c>
      <c r="D23" s="138">
        <f>D21</f>
        <v>1735.3000000000002</v>
      </c>
    </row>
    <row r="24" ht="12.75">
      <c r="A24" s="130"/>
    </row>
    <row r="26" spans="1:4" ht="15.75">
      <c r="A26" s="143" t="s">
        <v>45</v>
      </c>
      <c r="B26" s="144"/>
      <c r="C26" s="145">
        <f>C21/'Баланс в лева'!C27</f>
        <v>-0.06569814957961186</v>
      </c>
      <c r="D26" s="145">
        <f>D21/'Баланс в лева'!D27</f>
        <v>0.010862053856457894</v>
      </c>
    </row>
  </sheetData>
  <sheetProtection/>
  <mergeCells count="2">
    <mergeCell ref="A1:D1"/>
    <mergeCell ref="A3:D3"/>
  </mergeCells>
  <printOptions/>
  <pageMargins left="0.4597222222222222" right="0.1597222222222222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B45" sqref="B45"/>
    </sheetView>
  </sheetViews>
  <sheetFormatPr defaultColWidth="9.140625" defaultRowHeight="12.75"/>
  <cols>
    <col min="1" max="1" width="53.28125" style="0" customWidth="1"/>
    <col min="2" max="2" width="14.00390625" style="0" customWidth="1"/>
    <col min="3" max="3" width="13.140625" style="0" customWidth="1"/>
    <col min="4" max="4" width="17.00390625" style="0" hidden="1" customWidth="1"/>
    <col min="5" max="5" width="13.140625" style="0" hidden="1" customWidth="1"/>
  </cols>
  <sheetData>
    <row r="1" spans="1:4" ht="23.25">
      <c r="A1" s="159" t="s">
        <v>127</v>
      </c>
      <c r="B1" s="159"/>
      <c r="C1" s="159"/>
      <c r="D1" s="159"/>
    </row>
    <row r="2" spans="1:4" ht="21">
      <c r="A2" s="160" t="s">
        <v>46</v>
      </c>
      <c r="B2" s="160"/>
      <c r="C2" s="160"/>
      <c r="D2" s="160"/>
    </row>
    <row r="5" ht="13.5" thickBot="1"/>
    <row r="6" spans="1:5" ht="13.5" thickBot="1">
      <c r="A6" s="4"/>
      <c r="B6" s="5" t="s">
        <v>4</v>
      </c>
      <c r="C6" s="27" t="s">
        <v>121</v>
      </c>
      <c r="D6" s="80" t="s">
        <v>111</v>
      </c>
      <c r="E6" s="27" t="s">
        <v>1</v>
      </c>
    </row>
    <row r="7" spans="1:5" ht="38.25" customHeight="1">
      <c r="A7" s="6" t="s">
        <v>5</v>
      </c>
      <c r="B7" s="4"/>
      <c r="C7" s="4"/>
      <c r="D7" s="28"/>
      <c r="E7" s="4"/>
    </row>
    <row r="8" spans="1:5" ht="15" customHeight="1">
      <c r="A8" s="7" t="s">
        <v>47</v>
      </c>
      <c r="B8" s="175"/>
      <c r="C8" s="9"/>
      <c r="D8" s="29"/>
      <c r="E8" s="9"/>
    </row>
    <row r="9" spans="1:5" ht="15" customHeight="1">
      <c r="A9" s="9" t="s">
        <v>133</v>
      </c>
      <c r="B9" s="175"/>
      <c r="C9" s="38">
        <f>1114.3+320779.59</f>
        <v>321893.89</v>
      </c>
      <c r="D9" s="38">
        <f>500+1350+1030</f>
        <v>2880</v>
      </c>
      <c r="E9" s="38">
        <f>500+1350+1030</f>
        <v>2880</v>
      </c>
    </row>
    <row r="10" spans="1:5" ht="12.75">
      <c r="A10" s="9" t="s">
        <v>49</v>
      </c>
      <c r="B10" s="175"/>
      <c r="C10" s="38">
        <f>-686.52-54.4-29.7-77656.88-24</f>
        <v>-78451.5</v>
      </c>
      <c r="D10" s="38">
        <f>-483.58-159-8232.51-50-185-261934.95-482.21</f>
        <v>-271527.25000000006</v>
      </c>
      <c r="E10" s="38">
        <f>-483.58-159-8232.51-50</f>
        <v>-8925.09</v>
      </c>
    </row>
    <row r="11" spans="1:5" ht="15" customHeight="1">
      <c r="A11" s="9" t="s">
        <v>50</v>
      </c>
      <c r="B11" s="175"/>
      <c r="C11" s="38">
        <f>-22343.22-2129.04-2551.12-650</f>
        <v>-27673.38</v>
      </c>
      <c r="D11" s="38">
        <f>-9833.8-2965.74-1839.96-781.2-898.4-750.09-2653.3-240.57-67.96-83.34-294.8-65.23-43.5</f>
        <v>-20517.889999999996</v>
      </c>
      <c r="E11" s="38">
        <f>-9833.8-2965.74-1839.96-781.2-898.4</f>
        <v>-16319.1</v>
      </c>
    </row>
    <row r="12" spans="1:5" ht="15" customHeight="1">
      <c r="A12" s="9" t="s">
        <v>102</v>
      </c>
      <c r="B12" s="43"/>
      <c r="C12" s="38">
        <f>-88235.47-23.94</f>
        <v>-88259.41</v>
      </c>
      <c r="E12" s="38"/>
    </row>
    <row r="13" spans="1:5" ht="15" customHeight="1" thickBot="1">
      <c r="A13" s="9" t="s">
        <v>51</v>
      </c>
      <c r="B13" s="43"/>
      <c r="C13" s="38">
        <f>6044-350+100-85</f>
        <v>5709</v>
      </c>
      <c r="D13" s="38">
        <f>-0.02-30</f>
        <v>-30.02</v>
      </c>
      <c r="E13" s="38">
        <v>-0.02</v>
      </c>
    </row>
    <row r="14" spans="1:5" ht="15" customHeight="1" thickBot="1">
      <c r="A14" s="5" t="s">
        <v>52</v>
      </c>
      <c r="B14" s="4"/>
      <c r="C14" s="44">
        <f>SUM(C8:C13)</f>
        <v>133218.6</v>
      </c>
      <c r="D14" s="44">
        <f>SUM(D8:D13)</f>
        <v>-289195.1600000001</v>
      </c>
      <c r="E14" s="44">
        <f>SUM(E8:E13)</f>
        <v>-22364.210000000003</v>
      </c>
    </row>
    <row r="15" spans="1:5" ht="15" customHeight="1" thickBot="1">
      <c r="A15" s="5" t="s">
        <v>53</v>
      </c>
      <c r="B15" s="174"/>
      <c r="C15" s="45"/>
      <c r="D15" s="42"/>
      <c r="E15" s="45"/>
    </row>
    <row r="16" spans="1:5" ht="15" customHeight="1" thickBot="1">
      <c r="A16" s="9" t="s">
        <v>54</v>
      </c>
      <c r="B16" s="174"/>
      <c r="C16" s="38">
        <f>1250822.2</f>
        <v>1250822.2</v>
      </c>
      <c r="D16" s="38">
        <f>1623098.07+186590+1159570</f>
        <v>2969258.0700000003</v>
      </c>
      <c r="E16" s="38">
        <f>1623098.07</f>
        <v>1623098.07</v>
      </c>
    </row>
    <row r="17" spans="1:5" ht="15" customHeight="1" thickBot="1">
      <c r="A17" s="9" t="s">
        <v>55</v>
      </c>
      <c r="B17" s="174"/>
      <c r="C17" s="47">
        <f>-1545100</f>
        <v>-1545100</v>
      </c>
      <c r="D17" s="47">
        <f>-1621438.22+1782.22-987799.79-186352</f>
        <v>-2793807.79</v>
      </c>
      <c r="E17" s="47">
        <f>-1621438.22</f>
        <v>-1621438.22</v>
      </c>
    </row>
    <row r="18" spans="1:5" ht="15" customHeight="1" thickBot="1">
      <c r="A18" s="9" t="s">
        <v>104</v>
      </c>
      <c r="B18" s="174"/>
      <c r="C18" s="105">
        <f>10383.16+71040</f>
        <v>81423.16</v>
      </c>
      <c r="D18" s="47"/>
      <c r="E18" s="47"/>
    </row>
    <row r="19" spans="1:5" ht="15" customHeight="1" thickBot="1">
      <c r="A19" s="9" t="s">
        <v>105</v>
      </c>
      <c r="B19" s="174"/>
      <c r="C19" s="83">
        <f>-28000-9021.67-11000-25822.35-4510</f>
        <v>-78354.01999999999</v>
      </c>
      <c r="D19" s="47"/>
      <c r="E19" s="47"/>
    </row>
    <row r="20" spans="1:5" ht="15" customHeight="1" thickBot="1">
      <c r="A20" s="9" t="s">
        <v>108</v>
      </c>
      <c r="B20" s="174"/>
      <c r="C20" s="105">
        <f>17.59+9854.61+191.33</f>
        <v>10063.53</v>
      </c>
      <c r="D20" s="47"/>
      <c r="E20" s="47"/>
    </row>
    <row r="21" spans="1:5" ht="15" customHeight="1" thickBot="1">
      <c r="A21" s="9" t="s">
        <v>56</v>
      </c>
      <c r="B21" s="174"/>
      <c r="C21" s="47"/>
      <c r="D21" s="47">
        <f>95950</f>
        <v>95950</v>
      </c>
      <c r="E21" s="47"/>
    </row>
    <row r="22" spans="1:5" ht="15" customHeight="1" thickBot="1">
      <c r="A22" s="5" t="s">
        <v>57</v>
      </c>
      <c r="B22" s="4"/>
      <c r="C22" s="48">
        <f>SUM(C15:C21)</f>
        <v>-281145.13</v>
      </c>
      <c r="D22" s="45">
        <f>SUM(D16:D21)</f>
        <v>271400.28000000026</v>
      </c>
      <c r="E22" s="48">
        <f>SUM(E15:E21)</f>
        <v>1659.8500000000931</v>
      </c>
    </row>
    <row r="23" spans="1:5" ht="15" customHeight="1">
      <c r="A23" s="5" t="s">
        <v>58</v>
      </c>
      <c r="B23" s="4"/>
      <c r="C23" s="39"/>
      <c r="D23" s="42"/>
      <c r="E23" s="39"/>
    </row>
    <row r="24" spans="1:5" ht="15" customHeight="1">
      <c r="A24" s="62" t="s">
        <v>107</v>
      </c>
      <c r="B24" s="43"/>
      <c r="C24" s="39">
        <f>449.62+158.35</f>
        <v>607.97</v>
      </c>
      <c r="D24" s="39"/>
      <c r="E24" s="39">
        <v>-5200</v>
      </c>
    </row>
    <row r="25" spans="1:5" ht="15" customHeight="1">
      <c r="A25" s="62" t="s">
        <v>106</v>
      </c>
      <c r="B25" s="43"/>
      <c r="C25" s="39">
        <f>-88.5</f>
        <v>-88.5</v>
      </c>
      <c r="D25" s="39">
        <v>-5200</v>
      </c>
      <c r="E25" s="39"/>
    </row>
    <row r="26" spans="1:5" ht="15" customHeight="1" thickBot="1">
      <c r="A26" s="9" t="s">
        <v>109</v>
      </c>
      <c r="B26" s="43"/>
      <c r="C26" s="39">
        <f>-2-800.73-115.81</f>
        <v>-918.54</v>
      </c>
      <c r="D26" s="39">
        <f>331.6-14.2-1383.4-300+4.96-0.5-117.3-74.8</f>
        <v>-1553.6399999999999</v>
      </c>
      <c r="E26" s="49">
        <f>331.6-14.2-1383.4-300</f>
        <v>-1366</v>
      </c>
    </row>
    <row r="27" spans="1:5" ht="15" customHeight="1" thickBot="1">
      <c r="A27" s="9" t="s">
        <v>112</v>
      </c>
      <c r="B27" s="43"/>
      <c r="C27" s="39">
        <v>1379.32</v>
      </c>
      <c r="D27" s="39"/>
      <c r="E27" s="39"/>
    </row>
    <row r="28" spans="1:5" ht="15" customHeight="1" thickBot="1">
      <c r="A28" s="5" t="s">
        <v>59</v>
      </c>
      <c r="B28" s="4"/>
      <c r="C28" s="45">
        <f>C26+C24+C25+C27</f>
        <v>980.25</v>
      </c>
      <c r="D28" s="45">
        <f>D26+D24+D25+D27</f>
        <v>-6753.639999999999</v>
      </c>
      <c r="E28" s="45">
        <f>E26+E24</f>
        <v>-6566</v>
      </c>
    </row>
    <row r="29" spans="1:5" ht="15" customHeight="1" thickBot="1">
      <c r="A29" s="163" t="s">
        <v>60</v>
      </c>
      <c r="B29" s="174"/>
      <c r="C29" s="44">
        <f>C14+C22+C28</f>
        <v>-146946.28</v>
      </c>
      <c r="D29" s="44">
        <f>D14+D22+D28</f>
        <v>-24548.51999999983</v>
      </c>
      <c r="E29" s="44">
        <f>E14+E22+E28</f>
        <v>-27270.35999999991</v>
      </c>
    </row>
    <row r="30" spans="1:5" ht="14.25" customHeight="1" thickBot="1">
      <c r="A30" s="163"/>
      <c r="B30" s="174"/>
      <c r="C30" s="50">
        <v>294959.19</v>
      </c>
      <c r="D30" s="50">
        <f>30962.61</f>
        <v>30962.61</v>
      </c>
      <c r="E30" s="50">
        <f>30962.61</f>
        <v>30962.61</v>
      </c>
    </row>
    <row r="31" spans="1:5" ht="15" customHeight="1" thickBot="1">
      <c r="A31" s="14" t="s">
        <v>61</v>
      </c>
      <c r="B31" s="21"/>
      <c r="C31" s="41">
        <f>C30+C29</f>
        <v>148012.91</v>
      </c>
      <c r="D31" s="41">
        <f>D30+D29</f>
        <v>6414.090000000171</v>
      </c>
      <c r="E31" s="41">
        <f>E30+E29</f>
        <v>3692.250000000091</v>
      </c>
    </row>
    <row r="33" ht="12.75">
      <c r="C33" s="40"/>
    </row>
    <row r="34" spans="1:4" ht="15.75" customHeight="1">
      <c r="A34" s="31" t="s">
        <v>62</v>
      </c>
      <c r="B34" s="180" t="s">
        <v>140</v>
      </c>
      <c r="C34" s="180"/>
      <c r="D34" s="180"/>
    </row>
    <row r="35" spans="1:4" ht="15.75" customHeight="1">
      <c r="A35" s="31" t="s">
        <v>122</v>
      </c>
      <c r="B35" s="158"/>
      <c r="C35" s="158"/>
      <c r="D35" s="158"/>
    </row>
  </sheetData>
  <sheetProtection/>
  <mergeCells count="8">
    <mergeCell ref="A1:D1"/>
    <mergeCell ref="B35:D35"/>
    <mergeCell ref="A29:A30"/>
    <mergeCell ref="B29:B30"/>
    <mergeCell ref="B34:D34"/>
    <mergeCell ref="A2:D2"/>
    <mergeCell ref="B8:B11"/>
    <mergeCell ref="B15:B21"/>
  </mergeCells>
  <printOptions/>
  <pageMargins left="0.30972222222222223" right="0.30972222222222223" top="0.32013888888888886" bottom="0.3701388888888889" header="0.5118055555555555" footer="0.511805555555555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25.421875" style="0" customWidth="1"/>
    <col min="3" max="3" width="10.00390625" style="0" bestFit="1" customWidth="1"/>
    <col min="5" max="5" width="10.00390625" style="0" bestFit="1" customWidth="1"/>
    <col min="6" max="6" width="9.8515625" style="0" customWidth="1"/>
    <col min="7" max="7" width="10.421875" style="0" bestFit="1" customWidth="1"/>
    <col min="8" max="8" width="10.7109375" style="0" customWidth="1"/>
    <col min="9" max="9" width="11.421875" style="0" customWidth="1"/>
    <col min="11" max="11" width="10.140625" style="0" customWidth="1"/>
  </cols>
  <sheetData>
    <row r="1" spans="1:9" ht="23.25">
      <c r="A1" s="159" t="s">
        <v>127</v>
      </c>
      <c r="B1" s="159"/>
      <c r="C1" s="159"/>
      <c r="D1" s="159"/>
      <c r="E1" s="159"/>
      <c r="F1" s="159"/>
      <c r="G1" s="159"/>
      <c r="H1" s="159"/>
      <c r="I1" s="159"/>
    </row>
    <row r="3" spans="1:9" ht="21">
      <c r="A3" s="160" t="s">
        <v>64</v>
      </c>
      <c r="B3" s="160"/>
      <c r="C3" s="160"/>
      <c r="D3" s="160"/>
      <c r="E3" s="160"/>
      <c r="F3" s="160"/>
      <c r="G3" s="160"/>
      <c r="H3" s="160"/>
      <c r="I3" s="160"/>
    </row>
    <row r="4" ht="15" customHeight="1"/>
    <row r="5" spans="1:9" ht="12.75" customHeight="1">
      <c r="A5" s="4"/>
      <c r="B5" s="6" t="s">
        <v>65</v>
      </c>
      <c r="C5" s="6" t="s">
        <v>66</v>
      </c>
      <c r="D5" s="176" t="s">
        <v>17</v>
      </c>
      <c r="E5" s="176"/>
      <c r="F5" s="177" t="s">
        <v>67</v>
      </c>
      <c r="G5" s="177"/>
      <c r="H5" s="6" t="s">
        <v>68</v>
      </c>
      <c r="I5" s="6" t="s">
        <v>69</v>
      </c>
    </row>
    <row r="6" spans="1:9" ht="12.75" customHeight="1">
      <c r="A6" s="32" t="s">
        <v>5</v>
      </c>
      <c r="B6" s="32" t="s">
        <v>70</v>
      </c>
      <c r="C6" s="32" t="s">
        <v>71</v>
      </c>
      <c r="D6" s="32" t="s">
        <v>72</v>
      </c>
      <c r="E6" s="33" t="s">
        <v>73</v>
      </c>
      <c r="F6" s="179" t="s">
        <v>74</v>
      </c>
      <c r="G6" s="179"/>
      <c r="H6" s="32" t="s">
        <v>75</v>
      </c>
      <c r="I6" s="32" t="s">
        <v>76</v>
      </c>
    </row>
    <row r="7" spans="1:9" ht="12.75" customHeight="1">
      <c r="A7" s="178"/>
      <c r="B7" s="179" t="s">
        <v>77</v>
      </c>
      <c r="C7" s="179" t="s">
        <v>76</v>
      </c>
      <c r="D7" s="32" t="s">
        <v>78</v>
      </c>
      <c r="E7" s="179" t="s">
        <v>79</v>
      </c>
      <c r="F7" s="6" t="s">
        <v>80</v>
      </c>
      <c r="G7" s="6" t="s">
        <v>81</v>
      </c>
      <c r="H7" s="32" t="s">
        <v>82</v>
      </c>
      <c r="I7" s="178"/>
    </row>
    <row r="8" spans="1:9" ht="13.5" thickBot="1">
      <c r="A8" s="178"/>
      <c r="B8" s="179"/>
      <c r="C8" s="179"/>
      <c r="D8" s="34"/>
      <c r="E8" s="179"/>
      <c r="F8" s="32" t="s">
        <v>83</v>
      </c>
      <c r="G8" s="32" t="s">
        <v>75</v>
      </c>
      <c r="H8" s="32" t="s">
        <v>84</v>
      </c>
      <c r="I8" s="178"/>
    </row>
    <row r="9" spans="1:9" ht="13.5" thickBot="1">
      <c r="A9" s="6" t="s">
        <v>85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106">
        <v>8</v>
      </c>
    </row>
    <row r="10" spans="1:9" ht="12.75">
      <c r="A10" s="6" t="s">
        <v>123</v>
      </c>
      <c r="B10" s="42"/>
      <c r="C10" s="51">
        <f>4940553-148216</f>
        <v>4792337</v>
      </c>
      <c r="D10" s="51">
        <v>372880.5</v>
      </c>
      <c r="E10" s="51">
        <f>82980.11+5226433.55+617569+82225.41</f>
        <v>6009208.07</v>
      </c>
      <c r="F10" s="51">
        <v>0</v>
      </c>
      <c r="G10" s="51">
        <v>-2102453.24</v>
      </c>
      <c r="H10" s="51">
        <v>-899595.58</v>
      </c>
      <c r="I10" s="53">
        <f aca="true" t="shared" si="0" ref="I10:I23">SUM(C10:H10)</f>
        <v>8172376.75</v>
      </c>
    </row>
    <row r="11" spans="1:9" ht="12.75">
      <c r="A11" s="32" t="s">
        <v>86</v>
      </c>
      <c r="B11" s="52"/>
      <c r="C11" s="52"/>
      <c r="D11" s="52"/>
      <c r="E11" s="52"/>
      <c r="F11" s="53"/>
      <c r="G11" s="53"/>
      <c r="H11" s="53"/>
      <c r="I11" s="53">
        <f t="shared" si="0"/>
        <v>0</v>
      </c>
    </row>
    <row r="12" spans="1:9" ht="12.75">
      <c r="A12" s="32" t="s">
        <v>87</v>
      </c>
      <c r="B12" s="52"/>
      <c r="C12" s="52"/>
      <c r="D12" s="52"/>
      <c r="E12" s="52"/>
      <c r="F12" s="52"/>
      <c r="G12" s="54"/>
      <c r="H12" s="54"/>
      <c r="I12" s="53">
        <f t="shared" si="0"/>
        <v>0</v>
      </c>
    </row>
    <row r="13" spans="1:9" ht="12.75">
      <c r="A13" s="32" t="s">
        <v>88</v>
      </c>
      <c r="B13" s="52"/>
      <c r="C13" s="52"/>
      <c r="D13" s="52"/>
      <c r="E13" s="52"/>
      <c r="F13" s="52"/>
      <c r="G13" s="52"/>
      <c r="H13" s="52"/>
      <c r="I13" s="53">
        <f t="shared" si="0"/>
        <v>0</v>
      </c>
    </row>
    <row r="14" spans="1:9" ht="12.75">
      <c r="A14" s="32" t="s">
        <v>89</v>
      </c>
      <c r="B14" s="52"/>
      <c r="C14" s="52"/>
      <c r="D14" s="54"/>
      <c r="E14" s="54"/>
      <c r="F14" s="52"/>
      <c r="G14" s="53"/>
      <c r="H14" s="61"/>
      <c r="I14" s="53">
        <f t="shared" si="0"/>
        <v>0</v>
      </c>
    </row>
    <row r="15" spans="1:9" ht="13.5" thickBot="1">
      <c r="A15" s="32" t="s">
        <v>90</v>
      </c>
      <c r="B15" s="52"/>
      <c r="C15" s="52"/>
      <c r="D15" s="52"/>
      <c r="E15" s="52"/>
      <c r="F15" s="52"/>
      <c r="G15" s="53"/>
      <c r="H15" s="53"/>
      <c r="I15" s="53">
        <f t="shared" si="0"/>
        <v>0</v>
      </c>
    </row>
    <row r="16" spans="1:9" ht="12.75" hidden="1">
      <c r="A16" s="32" t="s">
        <v>91</v>
      </c>
      <c r="B16" s="52"/>
      <c r="C16" s="52"/>
      <c r="D16" s="52"/>
      <c r="E16" s="52"/>
      <c r="F16" s="52"/>
      <c r="G16" s="52"/>
      <c r="H16" s="52"/>
      <c r="I16" s="53">
        <f t="shared" si="0"/>
        <v>0</v>
      </c>
    </row>
    <row r="17" spans="1:9" ht="12.75" hidden="1">
      <c r="A17" s="32" t="s">
        <v>84</v>
      </c>
      <c r="B17" s="52"/>
      <c r="C17" s="52"/>
      <c r="D17" s="52"/>
      <c r="E17" s="52"/>
      <c r="F17" s="52"/>
      <c r="G17" s="52"/>
      <c r="H17" s="54"/>
      <c r="I17" s="53">
        <f>SUM(C17:H17)</f>
        <v>0</v>
      </c>
    </row>
    <row r="18" spans="1:11" ht="13.5" thickBot="1">
      <c r="A18" s="6" t="s">
        <v>124</v>
      </c>
      <c r="B18" s="42"/>
      <c r="C18" s="51">
        <f aca="true" t="shared" si="1" ref="C18:H18">SUM(C10:C17)</f>
        <v>4792337</v>
      </c>
      <c r="D18" s="51">
        <f t="shared" si="1"/>
        <v>372880.5</v>
      </c>
      <c r="E18" s="51">
        <f t="shared" si="1"/>
        <v>6009208.07</v>
      </c>
      <c r="F18" s="51">
        <f t="shared" si="1"/>
        <v>0</v>
      </c>
      <c r="G18" s="51">
        <f t="shared" si="1"/>
        <v>-2102453.24</v>
      </c>
      <c r="H18" s="51">
        <f t="shared" si="1"/>
        <v>-899595.58</v>
      </c>
      <c r="I18" s="51">
        <f t="shared" si="0"/>
        <v>8172376.75</v>
      </c>
      <c r="K18" s="55"/>
    </row>
    <row r="19" spans="1:9" ht="12.75">
      <c r="A19" s="6" t="s">
        <v>92</v>
      </c>
      <c r="B19" s="42"/>
      <c r="C19" s="42"/>
      <c r="D19" s="42"/>
      <c r="E19" s="42"/>
      <c r="F19" s="51"/>
      <c r="G19" s="51">
        <v>-899595.58</v>
      </c>
      <c r="H19" s="51">
        <v>899595.58</v>
      </c>
      <c r="I19" s="51">
        <f t="shared" si="0"/>
        <v>0</v>
      </c>
    </row>
    <row r="20" spans="1:9" ht="12.75">
      <c r="A20" s="32" t="s">
        <v>93</v>
      </c>
      <c r="B20" s="52"/>
      <c r="C20" s="52"/>
      <c r="D20" s="52"/>
      <c r="E20" s="52"/>
      <c r="F20" s="52"/>
      <c r="G20" s="54"/>
      <c r="H20" s="54"/>
      <c r="I20" s="53">
        <f t="shared" si="0"/>
        <v>0</v>
      </c>
    </row>
    <row r="21" spans="1:9" ht="12.75">
      <c r="A21" s="32" t="s">
        <v>91</v>
      </c>
      <c r="B21" s="52"/>
      <c r="C21" s="52"/>
      <c r="D21" s="52"/>
      <c r="E21" s="52"/>
      <c r="F21" s="52"/>
      <c r="G21" s="52"/>
      <c r="H21" s="52"/>
      <c r="I21" s="53">
        <f t="shared" si="0"/>
        <v>0</v>
      </c>
    </row>
    <row r="22" spans="1:9" ht="13.5" thickBot="1">
      <c r="A22" s="32" t="s">
        <v>84</v>
      </c>
      <c r="B22" s="52"/>
      <c r="C22" s="52"/>
      <c r="D22" s="52"/>
      <c r="E22" s="52"/>
      <c r="F22" s="52"/>
      <c r="G22" s="52"/>
      <c r="H22" s="54">
        <f>'Отчет за доходите в лева'!C23</f>
        <v>-324585.19000000006</v>
      </c>
      <c r="I22" s="53">
        <f t="shared" si="0"/>
        <v>-324585.19000000006</v>
      </c>
    </row>
    <row r="23" spans="1:9" ht="13.5" thickBot="1">
      <c r="A23" s="6" t="s">
        <v>124</v>
      </c>
      <c r="B23" s="46"/>
      <c r="C23" s="56">
        <f aca="true" t="shared" si="2" ref="C23:H23">SUM(C18:C22)</f>
        <v>4792337</v>
      </c>
      <c r="D23" s="56">
        <f t="shared" si="2"/>
        <v>372880.5</v>
      </c>
      <c r="E23" s="56">
        <f t="shared" si="2"/>
        <v>6009208.07</v>
      </c>
      <c r="F23" s="56">
        <f t="shared" si="2"/>
        <v>0</v>
      </c>
      <c r="G23" s="56">
        <f t="shared" si="2"/>
        <v>-3002048.8200000003</v>
      </c>
      <c r="H23" s="56">
        <f t="shared" si="2"/>
        <v>-324585.19000000006</v>
      </c>
      <c r="I23" s="70">
        <f t="shared" si="0"/>
        <v>7847791.56</v>
      </c>
    </row>
    <row r="24" ht="12.75">
      <c r="A24" s="15"/>
    </row>
  </sheetData>
  <sheetProtection/>
  <mergeCells count="10">
    <mergeCell ref="I7:I8"/>
    <mergeCell ref="F6:G6"/>
    <mergeCell ref="A7:A8"/>
    <mergeCell ref="B7:B8"/>
    <mergeCell ref="C7:C8"/>
    <mergeCell ref="E7:E8"/>
    <mergeCell ref="A1:I1"/>
    <mergeCell ref="A3:I3"/>
    <mergeCell ref="D5:E5"/>
    <mergeCell ref="F5:G5"/>
  </mergeCells>
  <printOptions horizontalCentered="1"/>
  <pageMargins left="0.5513888888888889" right="0.87013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dj</cp:lastModifiedBy>
  <cp:lastPrinted>2015-07-29T07:18:54Z</cp:lastPrinted>
  <dcterms:created xsi:type="dcterms:W3CDTF">2013-12-19T08:50:52Z</dcterms:created>
  <dcterms:modified xsi:type="dcterms:W3CDTF">2015-07-30T07:28:25Z</dcterms:modified>
  <cp:category/>
  <cp:version/>
  <cp:contentType/>
  <cp:contentStatus/>
</cp:coreProperties>
</file>