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5955" yWindow="450" windowWidth="21840" windowHeight="12795" tabRatio="814" firstSheet="5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8">'Справка 8'!$A$1:$J$42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F13" i="10"/>
  <c r="D29" i="9"/>
  <c r="D27"/>
  <c r="C29"/>
  <c r="C27"/>
  <c r="H33" i="8"/>
  <c r="F30"/>
  <c r="E30"/>
  <c r="C67" i="11"/>
  <c r="C38" i="6"/>
  <c r="C20"/>
  <c r="C28"/>
  <c r="C37"/>
  <c r="G68" i="4" l="1"/>
  <c r="G69"/>
  <c r="C19" i="5"/>
  <c r="F20" i="10"/>
  <c r="C20"/>
  <c r="C17"/>
  <c r="C13"/>
  <c r="C21" i="6" l="1"/>
  <c r="H191" i="2" s="1"/>
  <c r="H197"/>
  <c r="H206"/>
  <c r="H160"/>
  <c r="H141"/>
  <c r="C22" i="5"/>
  <c r="H137" i="2" s="1"/>
  <c r="H117"/>
  <c r="H113"/>
  <c r="AA3" i="1"/>
  <c r="C47" i="8" s="1"/>
  <c r="AA2" i="1"/>
  <c r="B50" i="5" s="1"/>
  <c r="AA1" i="1"/>
  <c r="C124" i="2" s="1"/>
  <c r="H8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8"/>
  <c r="H199"/>
  <c r="H200"/>
  <c r="H201"/>
  <c r="H203"/>
  <c r="H204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59"/>
  <c r="H158"/>
  <c r="H157"/>
  <c r="H127"/>
  <c r="H128"/>
  <c r="H129"/>
  <c r="H130"/>
  <c r="H131"/>
  <c r="H132"/>
  <c r="H133"/>
  <c r="H134"/>
  <c r="H135"/>
  <c r="H136"/>
  <c r="H138"/>
  <c r="H139"/>
  <c r="H140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9"/>
  <c r="H111"/>
  <c r="H112"/>
  <c r="H114"/>
  <c r="H115"/>
  <c r="H116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 s="1"/>
  <c r="C148" i="11"/>
  <c r="H1304" i="2" s="1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 s="1"/>
  <c r="C131" i="11"/>
  <c r="F130"/>
  <c r="F129"/>
  <c r="F128"/>
  <c r="F127"/>
  <c r="F126"/>
  <c r="F125"/>
  <c r="F124"/>
  <c r="F123"/>
  <c r="F122"/>
  <c r="F121"/>
  <c r="F120"/>
  <c r="F119"/>
  <c r="F118"/>
  <c r="F117"/>
  <c r="F116"/>
  <c r="E114"/>
  <c r="H1322" i="2" s="1"/>
  <c r="C114" i="11"/>
  <c r="H1302" i="2" s="1"/>
  <c r="F113" i="11"/>
  <c r="F112"/>
  <c r="F111"/>
  <c r="F110"/>
  <c r="F109"/>
  <c r="F108"/>
  <c r="F107"/>
  <c r="F106"/>
  <c r="F105"/>
  <c r="F104"/>
  <c r="F103"/>
  <c r="F102"/>
  <c r="F101"/>
  <c r="F100"/>
  <c r="F99"/>
  <c r="E97"/>
  <c r="H1321" i="2" s="1"/>
  <c r="C97" i="11"/>
  <c r="H1301" i="2" s="1"/>
  <c r="F96" i="11"/>
  <c r="F95"/>
  <c r="F94"/>
  <c r="F93"/>
  <c r="F92"/>
  <c r="F91"/>
  <c r="F90"/>
  <c r="F89"/>
  <c r="F88"/>
  <c r="F87"/>
  <c r="F86"/>
  <c r="F85"/>
  <c r="F84"/>
  <c r="F83"/>
  <c r="F82"/>
  <c r="E78"/>
  <c r="H1319" i="2" s="1"/>
  <c r="C78" i="11"/>
  <c r="E15" i="14" s="1"/>
  <c r="F77" i="11"/>
  <c r="F76"/>
  <c r="F75"/>
  <c r="F74"/>
  <c r="F73"/>
  <c r="F72"/>
  <c r="F71"/>
  <c r="F70"/>
  <c r="F69"/>
  <c r="F68"/>
  <c r="F67"/>
  <c r="F66"/>
  <c r="F65"/>
  <c r="F64"/>
  <c r="F63"/>
  <c r="E61"/>
  <c r="H1318" i="2" s="1"/>
  <c r="C61" i="11"/>
  <c r="H1298" i="2" s="1"/>
  <c r="F60" i="11"/>
  <c r="F59"/>
  <c r="F58"/>
  <c r="F57"/>
  <c r="F56"/>
  <c r="F55"/>
  <c r="F54"/>
  <c r="F53"/>
  <c r="F52"/>
  <c r="F51"/>
  <c r="F50"/>
  <c r="F49"/>
  <c r="F48"/>
  <c r="F47"/>
  <c r="F46"/>
  <c r="E44"/>
  <c r="H1317" i="2" s="1"/>
  <c r="C44" i="11"/>
  <c r="F43"/>
  <c r="F42"/>
  <c r="F41"/>
  <c r="F40"/>
  <c r="F39"/>
  <c r="F38"/>
  <c r="F37"/>
  <c r="F36"/>
  <c r="F35"/>
  <c r="F34"/>
  <c r="F33"/>
  <c r="F32"/>
  <c r="F44" s="1"/>
  <c r="H1327" i="2" s="1"/>
  <c r="F31" i="11"/>
  <c r="F30"/>
  <c r="F29"/>
  <c r="E27"/>
  <c r="H1316" i="2" s="1"/>
  <c r="C27" i="11"/>
  <c r="H1296" i="2" s="1"/>
  <c r="F26" i="11"/>
  <c r="F25"/>
  <c r="F24"/>
  <c r="F23"/>
  <c r="F22"/>
  <c r="F21"/>
  <c r="F20"/>
  <c r="F19"/>
  <c r="F18"/>
  <c r="F17"/>
  <c r="F16"/>
  <c r="F15"/>
  <c r="F14"/>
  <c r="F13"/>
  <c r="F12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E97"/>
  <c r="H1134" i="2" s="1"/>
  <c r="E96" i="9"/>
  <c r="E95"/>
  <c r="H1132" i="2" s="1"/>
  <c r="E94" i="9"/>
  <c r="E93"/>
  <c r="F92"/>
  <c r="D92"/>
  <c r="D87" s="1"/>
  <c r="C92"/>
  <c r="C87" s="1"/>
  <c r="E91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F68" s="1"/>
  <c r="D54"/>
  <c r="C54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/>
  <c r="H955" i="2" s="1"/>
  <c r="C26" i="9"/>
  <c r="H923" i="2" s="1"/>
  <c r="E23" i="9"/>
  <c r="H986" i="2"/>
  <c r="E22" i="9"/>
  <c r="E20"/>
  <c r="H984" i="2" s="1"/>
  <c r="E19" i="9"/>
  <c r="H983" i="2" s="1"/>
  <c r="D18" i="9"/>
  <c r="C18"/>
  <c r="E18"/>
  <c r="H982" i="2" s="1"/>
  <c r="E17" i="9"/>
  <c r="H981" i="2" s="1"/>
  <c r="E16" i="9"/>
  <c r="H980" i="2" s="1"/>
  <c r="E15" i="9"/>
  <c r="E14"/>
  <c r="E13" s="1"/>
  <c r="D13"/>
  <c r="C13"/>
  <c r="H913" i="2" s="1"/>
  <c r="E11" i="9"/>
  <c r="H976" i="2" s="1"/>
  <c r="N41" i="8"/>
  <c r="Q41" s="1"/>
  <c r="G41"/>
  <c r="H579" i="2"/>
  <c r="N39" i="8"/>
  <c r="H787" i="2"/>
  <c r="G39" i="8"/>
  <c r="H577" i="2"/>
  <c r="N38" i="8"/>
  <c r="Q38" s="1"/>
  <c r="H876" i="2" s="1"/>
  <c r="H786"/>
  <c r="G38" i="8"/>
  <c r="J38" s="1"/>
  <c r="H576" i="2"/>
  <c r="N37" i="8"/>
  <c r="Q37" s="1"/>
  <c r="G37"/>
  <c r="H575" i="2" s="1"/>
  <c r="N36" i="8"/>
  <c r="H784" i="2"/>
  <c r="G36" i="8"/>
  <c r="H574" i="2" s="1"/>
  <c r="N35" i="8"/>
  <c r="Q35"/>
  <c r="H873" i="2"/>
  <c r="G35" i="8"/>
  <c r="H573" i="2" s="1"/>
  <c r="P34" i="8"/>
  <c r="H842" i="2" s="1"/>
  <c r="O34" i="8"/>
  <c r="H812" i="2" s="1"/>
  <c r="M34" i="8"/>
  <c r="H752" i="2"/>
  <c r="L34" i="8"/>
  <c r="H722" i="2" s="1"/>
  <c r="K34" i="8"/>
  <c r="H692" i="2"/>
  <c r="I34" i="8"/>
  <c r="H632" i="2" s="1"/>
  <c r="H34" i="8"/>
  <c r="H602" i="2"/>
  <c r="F34" i="8"/>
  <c r="H542" i="2" s="1"/>
  <c r="E34" i="8"/>
  <c r="H512" i="2"/>
  <c r="D34" i="8"/>
  <c r="H482" i="2" s="1"/>
  <c r="N33" i="8"/>
  <c r="H781" i="2"/>
  <c r="Q33" i="8"/>
  <c r="H871" i="2" s="1"/>
  <c r="G33" i="8"/>
  <c r="J33" s="1"/>
  <c r="N32"/>
  <c r="H780" i="2"/>
  <c r="G32" i="8"/>
  <c r="H570" i="2" s="1"/>
  <c r="N31" i="8"/>
  <c r="H779" i="2" s="1"/>
  <c r="G31" i="8"/>
  <c r="H569" i="2" s="1"/>
  <c r="N30" i="8"/>
  <c r="Q30" s="1"/>
  <c r="H868" i="2" s="1"/>
  <c r="G30" i="8"/>
  <c r="J30" s="1"/>
  <c r="P29"/>
  <c r="P40" s="1"/>
  <c r="H837" i="2"/>
  <c r="O29" i="8"/>
  <c r="H807" i="2"/>
  <c r="M29" i="8"/>
  <c r="M40"/>
  <c r="L29"/>
  <c r="L40" s="1"/>
  <c r="H717" i="2"/>
  <c r="K29" i="8"/>
  <c r="H687" i="2"/>
  <c r="I29" i="8"/>
  <c r="I40"/>
  <c r="H29"/>
  <c r="H597" i="2" s="1"/>
  <c r="F29" i="8"/>
  <c r="F40" s="1"/>
  <c r="E29"/>
  <c r="H507" i="2" s="1"/>
  <c r="D29" i="8"/>
  <c r="D40" s="1"/>
  <c r="H488" i="2" s="1"/>
  <c r="P27" i="8"/>
  <c r="H836" i="2"/>
  <c r="O27" i="8"/>
  <c r="H806" i="2"/>
  <c r="M27" i="8"/>
  <c r="H746" i="2"/>
  <c r="L27" i="8"/>
  <c r="H716" i="2"/>
  <c r="K27" i="8"/>
  <c r="H686" i="2"/>
  <c r="I27" i="8"/>
  <c r="H626" i="2"/>
  <c r="H27" i="8"/>
  <c r="H596" i="2"/>
  <c r="F27" i="8"/>
  <c r="H536" i="2"/>
  <c r="E27" i="8"/>
  <c r="H506" i="2" s="1"/>
  <c r="D27" i="8"/>
  <c r="H476" i="2"/>
  <c r="N26" i="8"/>
  <c r="G26"/>
  <c r="J26" s="1"/>
  <c r="N25"/>
  <c r="H774" i="2"/>
  <c r="G25" i="8"/>
  <c r="N24"/>
  <c r="G24"/>
  <c r="J24"/>
  <c r="H653" i="2" s="1"/>
  <c r="N23" i="8"/>
  <c r="Q23" s="1"/>
  <c r="G23"/>
  <c r="N22"/>
  <c r="Q22" s="1"/>
  <c r="G22"/>
  <c r="J22" s="1"/>
  <c r="N21"/>
  <c r="G21"/>
  <c r="J21" s="1"/>
  <c r="N20"/>
  <c r="Q20" s="1"/>
  <c r="G20"/>
  <c r="J20" s="1"/>
  <c r="H650" i="2" s="1"/>
  <c r="P19" i="8"/>
  <c r="O19"/>
  <c r="H799" i="2" s="1"/>
  <c r="M19" i="8"/>
  <c r="H739" i="2" s="1"/>
  <c r="L19" i="8"/>
  <c r="H709" i="2" s="1"/>
  <c r="K19" i="8"/>
  <c r="H679" i="2" s="1"/>
  <c r="I19" i="8"/>
  <c r="H619" i="2"/>
  <c r="H19" i="8"/>
  <c r="F19"/>
  <c r="E19"/>
  <c r="D19"/>
  <c r="H469" i="2" s="1"/>
  <c r="N18" i="8"/>
  <c r="Q18" s="1"/>
  <c r="G18"/>
  <c r="H558" i="2" s="1"/>
  <c r="N17" i="8"/>
  <c r="Q17" s="1"/>
  <c r="G17"/>
  <c r="N16"/>
  <c r="Q16" s="1"/>
  <c r="H856" i="2" s="1"/>
  <c r="G16" i="8"/>
  <c r="J16" s="1"/>
  <c r="N15"/>
  <c r="Q15"/>
  <c r="H855" i="2" s="1"/>
  <c r="G15" i="8"/>
  <c r="H555" i="2" s="1"/>
  <c r="N14" i="8"/>
  <c r="G14"/>
  <c r="J14" s="1"/>
  <c r="N13"/>
  <c r="H763" i="2" s="1"/>
  <c r="Q13" i="8"/>
  <c r="H853" i="2" s="1"/>
  <c r="G13" i="8"/>
  <c r="H553" i="2" s="1"/>
  <c r="N12" i="8"/>
  <c r="Q12" s="1"/>
  <c r="H852" i="2" s="1"/>
  <c r="G12" i="8"/>
  <c r="J12" s="1"/>
  <c r="N11"/>
  <c r="Q11" s="1"/>
  <c r="H851" i="2" s="1"/>
  <c r="G11" i="8"/>
  <c r="J11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D33"/>
  <c r="C33"/>
  <c r="H202" i="2" s="1"/>
  <c r="D21" i="6"/>
  <c r="D38" i="5"/>
  <c r="C38"/>
  <c r="H149" i="2" s="1"/>
  <c r="D29" i="5"/>
  <c r="C29"/>
  <c r="H142" i="2" s="1"/>
  <c r="H27" i="5"/>
  <c r="G27"/>
  <c r="H169" i="2" s="1"/>
  <c r="D22" i="5"/>
  <c r="H16"/>
  <c r="G16"/>
  <c r="H161" i="2" s="1"/>
  <c r="D92" i="4"/>
  <c r="C9" i="14" s="1"/>
  <c r="D9" s="1"/>
  <c r="C92" i="4"/>
  <c r="C10" i="14" s="1"/>
  <c r="D79" i="4"/>
  <c r="D85" s="1"/>
  <c r="C79"/>
  <c r="H58" i="2" s="1"/>
  <c r="D76" i="4"/>
  <c r="D65"/>
  <c r="C65"/>
  <c r="H48" i="2"/>
  <c r="H61" i="4"/>
  <c r="H71" s="1"/>
  <c r="H79" s="1"/>
  <c r="D52"/>
  <c r="C52"/>
  <c r="H38" i="2" s="1"/>
  <c r="H50" i="4"/>
  <c r="H56" s="1"/>
  <c r="G50"/>
  <c r="H102" i="2" s="1"/>
  <c r="D40" i="4"/>
  <c r="C40"/>
  <c r="H27" i="2"/>
  <c r="D35" i="4"/>
  <c r="C35"/>
  <c r="H22" i="2" s="1"/>
  <c r="D33" i="4"/>
  <c r="C33"/>
  <c r="H21" i="2" s="1"/>
  <c r="H28" i="4"/>
  <c r="H34" s="1"/>
  <c r="G28"/>
  <c r="G34" s="1"/>
  <c r="D28"/>
  <c r="C28"/>
  <c r="H18" i="2"/>
  <c r="H22" i="4"/>
  <c r="H26"/>
  <c r="G22"/>
  <c r="G26"/>
  <c r="H86" i="2" s="1"/>
  <c r="D20" i="4"/>
  <c r="C20"/>
  <c r="H18"/>
  <c r="C13" i="7" s="1"/>
  <c r="G18" i="4"/>
  <c r="E7" i="14" s="1"/>
  <c r="E40" i="9"/>
  <c r="H1001" i="2" s="1"/>
  <c r="G27" i="8"/>
  <c r="H566" i="2" s="1"/>
  <c r="N27" i="8"/>
  <c r="H776" i="2" s="1"/>
  <c r="E40" i="8"/>
  <c r="H518" i="2" s="1"/>
  <c r="L14" i="7"/>
  <c r="H417" i="2"/>
  <c r="L19" i="7"/>
  <c r="H422" i="2" s="1"/>
  <c r="N29" i="8"/>
  <c r="H777" i="2" s="1"/>
  <c r="G34" i="8"/>
  <c r="H572" i="2" s="1"/>
  <c r="K40" i="8"/>
  <c r="H698" i="2" s="1"/>
  <c r="L23" i="7"/>
  <c r="H426" i="2" s="1"/>
  <c r="H17" i="7"/>
  <c r="H31" s="1"/>
  <c r="K17"/>
  <c r="H638" i="2"/>
  <c r="I42" i="8"/>
  <c r="H640" i="2"/>
  <c r="H758"/>
  <c r="H529"/>
  <c r="H562"/>
  <c r="J23" i="8"/>
  <c r="H945" i="2"/>
  <c r="D21" i="9"/>
  <c r="H953" i="2" s="1"/>
  <c r="H1192"/>
  <c r="F107" i="9"/>
  <c r="H1195" i="2" s="1"/>
  <c r="H627"/>
  <c r="H564"/>
  <c r="J25" i="8"/>
  <c r="H1172" i="2"/>
  <c r="F87" i="9"/>
  <c r="H1303" i="2"/>
  <c r="H589"/>
  <c r="H829"/>
  <c r="H771"/>
  <c r="Q21" i="8"/>
  <c r="H861" i="2"/>
  <c r="H773"/>
  <c r="Q24" i="8"/>
  <c r="H863" i="2" s="1"/>
  <c r="H775"/>
  <c r="Q26" i="8"/>
  <c r="H865" i="2"/>
  <c r="H563"/>
  <c r="H747"/>
  <c r="H979"/>
  <c r="H950"/>
  <c r="H1131"/>
  <c r="H1133"/>
  <c r="J34" i="8"/>
  <c r="Q29"/>
  <c r="H867" i="2"/>
  <c r="N34" i="8"/>
  <c r="Q34" s="1"/>
  <c r="H782" i="2"/>
  <c r="O40" i="8"/>
  <c r="O42" s="1"/>
  <c r="H820" i="2" s="1"/>
  <c r="E35" i="9"/>
  <c r="H996" i="2"/>
  <c r="H561"/>
  <c r="H772"/>
  <c r="H652"/>
  <c r="H818"/>
  <c r="R24" i="8"/>
  <c r="H893" i="2" s="1"/>
  <c r="C149" i="11"/>
  <c r="H1305" i="2" s="1"/>
  <c r="D45" i="9"/>
  <c r="D46" s="1"/>
  <c r="H975" i="2" s="1"/>
  <c r="C21" i="9"/>
  <c r="H921" i="2" s="1"/>
  <c r="H918"/>
  <c r="H1130"/>
  <c r="M17" i="7"/>
  <c r="M31" s="1"/>
  <c r="G17"/>
  <c r="H310" i="2" s="1"/>
  <c r="E17" i="7"/>
  <c r="H266" i="2" s="1"/>
  <c r="J17" i="7"/>
  <c r="H376" i="2" s="1"/>
  <c r="H82"/>
  <c r="J31" i="7"/>
  <c r="J34" s="1"/>
  <c r="H393" i="2" s="1"/>
  <c r="H442"/>
  <c r="F17" i="7"/>
  <c r="F31" s="1"/>
  <c r="G31"/>
  <c r="G34"/>
  <c r="H327" i="2" s="1"/>
  <c r="H324"/>
  <c r="H398"/>
  <c r="K31" i="7"/>
  <c r="M42" i="8"/>
  <c r="H760" i="2"/>
  <c r="H499"/>
  <c r="H662"/>
  <c r="H1167"/>
  <c r="F98" i="9"/>
  <c r="H654" i="2"/>
  <c r="Q27" i="8"/>
  <c r="H866" i="2"/>
  <c r="H764"/>
  <c r="Q14" i="8"/>
  <c r="H854" i="2" s="1"/>
  <c r="H557"/>
  <c r="J17" i="8"/>
  <c r="J13"/>
  <c r="R13" s="1"/>
  <c r="H883" i="2" s="1"/>
  <c r="J15" i="8"/>
  <c r="H765" i="2"/>
  <c r="H556"/>
  <c r="H767"/>
  <c r="Q31" i="8"/>
  <c r="H869" i="2"/>
  <c r="J32" i="8"/>
  <c r="Q32"/>
  <c r="J35"/>
  <c r="R35" s="1"/>
  <c r="H903" i="2" s="1"/>
  <c r="H783"/>
  <c r="J36" i="8"/>
  <c r="R36" s="1"/>
  <c r="H904" i="2" s="1"/>
  <c r="Q36" i="8"/>
  <c r="H874" i="2"/>
  <c r="Q39" i="8"/>
  <c r="H877" i="2"/>
  <c r="J41" i="8"/>
  <c r="H789" i="2"/>
  <c r="H1051"/>
  <c r="H1137"/>
  <c r="H1043"/>
  <c r="H766"/>
  <c r="H571"/>
  <c r="J31" i="8"/>
  <c r="H659" i="2" s="1"/>
  <c r="J39" i="8"/>
  <c r="H1297" i="2"/>
  <c r="B38" i="7"/>
  <c r="H551" i="2"/>
  <c r="H770"/>
  <c r="Q25" i="8"/>
  <c r="H864" i="2"/>
  <c r="J37" i="8"/>
  <c r="H665" i="2" s="1"/>
  <c r="H669"/>
  <c r="H663"/>
  <c r="R25" i="8"/>
  <c r="H894" i="2" s="1"/>
  <c r="H667"/>
  <c r="R39" i="8"/>
  <c r="H907" i="2" s="1"/>
  <c r="H645"/>
  <c r="R15" i="8"/>
  <c r="H885" i="2" s="1"/>
  <c r="H647"/>
  <c r="K34" i="7"/>
  <c r="H415" i="2" s="1"/>
  <c r="H412"/>
  <c r="R31" i="8"/>
  <c r="H899" i="2" s="1"/>
  <c r="H664"/>
  <c r="H660"/>
  <c r="H1178"/>
  <c r="J27" i="8" l="1"/>
  <c r="H565" i="2"/>
  <c r="H1299"/>
  <c r="H1086"/>
  <c r="C45" i="9"/>
  <c r="H942" i="2" s="1"/>
  <c r="H69"/>
  <c r="B151" i="11"/>
  <c r="B54" i="6"/>
  <c r="E82" i="9"/>
  <c r="H1119" i="2" s="1"/>
  <c r="E21" i="9"/>
  <c r="H985" i="2" s="1"/>
  <c r="H977"/>
  <c r="H978"/>
  <c r="H79"/>
  <c r="B100" i="4"/>
  <c r="B40" i="7"/>
  <c r="C296" i="2"/>
  <c r="C464"/>
  <c r="C616"/>
  <c r="C704"/>
  <c r="C1110"/>
  <c r="C1239"/>
  <c r="C327"/>
  <c r="C438"/>
  <c r="C591"/>
  <c r="C227"/>
  <c r="C791"/>
  <c r="C918"/>
  <c r="C1174"/>
  <c r="C1304"/>
  <c r="C157"/>
  <c r="C234"/>
  <c r="C413"/>
  <c r="C565"/>
  <c r="C360"/>
  <c r="C982"/>
  <c r="C31"/>
  <c r="C210"/>
  <c r="C265"/>
  <c r="C388"/>
  <c r="C489"/>
  <c r="C539"/>
  <c r="C653"/>
  <c r="C529"/>
  <c r="C1046"/>
  <c r="C201"/>
  <c r="C249"/>
  <c r="C311"/>
  <c r="C373"/>
  <c r="C425"/>
  <c r="C477"/>
  <c r="C527"/>
  <c r="C578"/>
  <c r="C628"/>
  <c r="C735"/>
  <c r="C440"/>
  <c r="C758"/>
  <c r="C885"/>
  <c r="C1014"/>
  <c r="C1142"/>
  <c r="C1271"/>
  <c r="C63"/>
  <c r="C192"/>
  <c r="C358"/>
  <c r="C514"/>
  <c r="C703"/>
  <c r="C853"/>
  <c r="C92"/>
  <c r="A6" i="7"/>
  <c r="C223" i="2"/>
  <c r="C281"/>
  <c r="C342"/>
  <c r="C400"/>
  <c r="C451"/>
  <c r="C502"/>
  <c r="C552"/>
  <c r="C603"/>
  <c r="C678"/>
  <c r="C293"/>
  <c r="C615"/>
  <c r="C821"/>
  <c r="C950"/>
  <c r="C1078"/>
  <c r="C1207"/>
  <c r="A5" i="8"/>
  <c r="H974" i="2"/>
  <c r="E54" i="9"/>
  <c r="H1094" i="2" s="1"/>
  <c r="H31" i="5"/>
  <c r="H36" s="1"/>
  <c r="C73" i="2"/>
  <c r="C74"/>
  <c r="C82"/>
  <c r="C90"/>
  <c r="C98"/>
  <c r="C106"/>
  <c r="C114"/>
  <c r="C122"/>
  <c r="C131"/>
  <c r="C139"/>
  <c r="C147"/>
  <c r="C155"/>
  <c r="C163"/>
  <c r="C171"/>
  <c r="C179"/>
  <c r="C65"/>
  <c r="C57"/>
  <c r="C49"/>
  <c r="C41"/>
  <c r="C33"/>
  <c r="C25"/>
  <c r="C17"/>
  <c r="C9"/>
  <c r="A5" i="10"/>
  <c r="C1330" i="2"/>
  <c r="C1322"/>
  <c r="C1314"/>
  <c r="C1306"/>
  <c r="C1298"/>
  <c r="C1289"/>
  <c r="C1281"/>
  <c r="C1273"/>
  <c r="C1265"/>
  <c r="C1257"/>
  <c r="C1249"/>
  <c r="C1241"/>
  <c r="C1233"/>
  <c r="C1225"/>
  <c r="C1217"/>
  <c r="C1209"/>
  <c r="C1201"/>
  <c r="C1192"/>
  <c r="C1184"/>
  <c r="C1176"/>
  <c r="C1168"/>
  <c r="C1160"/>
  <c r="C1152"/>
  <c r="C1144"/>
  <c r="C1136"/>
  <c r="C1128"/>
  <c r="C1120"/>
  <c r="C1112"/>
  <c r="C1104"/>
  <c r="C1096"/>
  <c r="C1088"/>
  <c r="C1080"/>
  <c r="C1072"/>
  <c r="C1064"/>
  <c r="C1056"/>
  <c r="C1048"/>
  <c r="C1040"/>
  <c r="C1032"/>
  <c r="C1024"/>
  <c r="C1016"/>
  <c r="C1008"/>
  <c r="C1000"/>
  <c r="C992"/>
  <c r="C984"/>
  <c r="C976"/>
  <c r="C968"/>
  <c r="C960"/>
  <c r="C952"/>
  <c r="C944"/>
  <c r="C936"/>
  <c r="C928"/>
  <c r="C920"/>
  <c r="C912"/>
  <c r="C903"/>
  <c r="C895"/>
  <c r="C887"/>
  <c r="C879"/>
  <c r="C871"/>
  <c r="C863"/>
  <c r="C855"/>
  <c r="C847"/>
  <c r="C839"/>
  <c r="C831"/>
  <c r="C823"/>
  <c r="C817"/>
  <c r="C809"/>
  <c r="C801"/>
  <c r="C793"/>
  <c r="C785"/>
  <c r="C776"/>
  <c r="C768"/>
  <c r="C760"/>
  <c r="C752"/>
  <c r="C744"/>
  <c r="C732"/>
  <c r="C709"/>
  <c r="C687"/>
  <c r="C665"/>
  <c r="C643"/>
  <c r="C621"/>
  <c r="C599"/>
  <c r="C577"/>
  <c r="C555"/>
  <c r="C534"/>
  <c r="C512"/>
  <c r="C490"/>
  <c r="C468"/>
  <c r="C445"/>
  <c r="C423"/>
  <c r="C401"/>
  <c r="C380"/>
  <c r="C364"/>
  <c r="C347"/>
  <c r="C330"/>
  <c r="C314"/>
  <c r="C297"/>
  <c r="C280"/>
  <c r="C264"/>
  <c r="C248"/>
  <c r="C231"/>
  <c r="C213"/>
  <c r="C195"/>
  <c r="C185"/>
  <c r="C739"/>
  <c r="C728"/>
  <c r="C721"/>
  <c r="C713"/>
  <c r="C705"/>
  <c r="C699"/>
  <c r="C693"/>
  <c r="C686"/>
  <c r="C680"/>
  <c r="C674"/>
  <c r="C667"/>
  <c r="C661"/>
  <c r="C655"/>
  <c r="C649"/>
  <c r="C642"/>
  <c r="C636"/>
  <c r="C630"/>
  <c r="C624"/>
  <c r="C617"/>
  <c r="C611"/>
  <c r="C605"/>
  <c r="C598"/>
  <c r="C592"/>
  <c r="C586"/>
  <c r="C580"/>
  <c r="C573"/>
  <c r="C567"/>
  <c r="C560"/>
  <c r="C554"/>
  <c r="C548"/>
  <c r="C541"/>
  <c r="C535"/>
  <c r="C528"/>
  <c r="C522"/>
  <c r="C516"/>
  <c r="C509"/>
  <c r="C503"/>
  <c r="C497"/>
  <c r="C491"/>
  <c r="C484"/>
  <c r="C478"/>
  <c r="C472"/>
  <c r="C466"/>
  <c r="C458"/>
  <c r="C452"/>
  <c r="C446"/>
  <c r="C439"/>
  <c r="C433"/>
  <c r="C427"/>
  <c r="C421"/>
  <c r="C415"/>
  <c r="C408"/>
  <c r="C402"/>
  <c r="C396"/>
  <c r="C390"/>
  <c r="C383"/>
  <c r="C375"/>
  <c r="C367"/>
  <c r="C359"/>
  <c r="C352"/>
  <c r="C344"/>
  <c r="C337"/>
  <c r="C329"/>
  <c r="C321"/>
  <c r="C313"/>
  <c r="C306"/>
  <c r="C298"/>
  <c r="C290"/>
  <c r="C283"/>
  <c r="C275"/>
  <c r="C267"/>
  <c r="C259"/>
  <c r="C251"/>
  <c r="C243"/>
  <c r="C236"/>
  <c r="C228"/>
  <c r="C221"/>
  <c r="C212"/>
  <c r="C205"/>
  <c r="C197"/>
  <c r="C190"/>
  <c r="C182"/>
  <c r="C582"/>
  <c r="C384"/>
  <c r="C351"/>
  <c r="C318"/>
  <c r="C301"/>
  <c r="C269"/>
  <c r="C252"/>
  <c r="C218"/>
  <c r="C200"/>
  <c r="C781"/>
  <c r="C731"/>
  <c r="C714"/>
  <c r="C700"/>
  <c r="C688"/>
  <c r="C675"/>
  <c r="C656"/>
  <c r="C644"/>
  <c r="C631"/>
  <c r="C619"/>
  <c r="C606"/>
  <c r="C594"/>
  <c r="C587"/>
  <c r="C575"/>
  <c r="C562"/>
  <c r="C549"/>
  <c r="C536"/>
  <c r="C524"/>
  <c r="C511"/>
  <c r="C498"/>
  <c r="C486"/>
  <c r="C474"/>
  <c r="C461"/>
  <c r="C447"/>
  <c r="C434"/>
  <c r="C422"/>
  <c r="C410"/>
  <c r="C397"/>
  <c r="C385"/>
  <c r="C377"/>
  <c r="C361"/>
  <c r="C346"/>
  <c r="C331"/>
  <c r="C315"/>
  <c r="C300"/>
  <c r="C285"/>
  <c r="C268"/>
  <c r="C253"/>
  <c r="C238"/>
  <c r="A3" i="14"/>
  <c r="C80" i="2"/>
  <c r="C88"/>
  <c r="C96"/>
  <c r="C104"/>
  <c r="C112"/>
  <c r="C120"/>
  <c r="C129"/>
  <c r="C137"/>
  <c r="C145"/>
  <c r="C153"/>
  <c r="C161"/>
  <c r="C169"/>
  <c r="C177"/>
  <c r="C67"/>
  <c r="C59"/>
  <c r="C51"/>
  <c r="C43"/>
  <c r="C35"/>
  <c r="C27"/>
  <c r="C19"/>
  <c r="C11"/>
  <c r="C3"/>
  <c r="C1332"/>
  <c r="C1324"/>
  <c r="C1316"/>
  <c r="C1308"/>
  <c r="C1300"/>
  <c r="C1291"/>
  <c r="C1283"/>
  <c r="C1275"/>
  <c r="C1267"/>
  <c r="C1259"/>
  <c r="C1251"/>
  <c r="C1243"/>
  <c r="C1235"/>
  <c r="C1227"/>
  <c r="C1219"/>
  <c r="C1211"/>
  <c r="C1203"/>
  <c r="C1194"/>
  <c r="C1186"/>
  <c r="C1178"/>
  <c r="C1170"/>
  <c r="C1162"/>
  <c r="C1154"/>
  <c r="C1146"/>
  <c r="C1138"/>
  <c r="C1130"/>
  <c r="C1122"/>
  <c r="C1114"/>
  <c r="C1106"/>
  <c r="C1098"/>
  <c r="C1090"/>
  <c r="C1082"/>
  <c r="C1074"/>
  <c r="C1066"/>
  <c r="C1058"/>
  <c r="C1050"/>
  <c r="C1042"/>
  <c r="C1034"/>
  <c r="C1026"/>
  <c r="C1018"/>
  <c r="C1010"/>
  <c r="C1002"/>
  <c r="C994"/>
  <c r="C986"/>
  <c r="C978"/>
  <c r="C970"/>
  <c r="C962"/>
  <c r="C954"/>
  <c r="C946"/>
  <c r="C938"/>
  <c r="C930"/>
  <c r="C922"/>
  <c r="C914"/>
  <c r="C905"/>
  <c r="C897"/>
  <c r="C889"/>
  <c r="C881"/>
  <c r="C873"/>
  <c r="C865"/>
  <c r="C857"/>
  <c r="C849"/>
  <c r="C841"/>
  <c r="C833"/>
  <c r="C825"/>
  <c r="C819"/>
  <c r="C811"/>
  <c r="C803"/>
  <c r="C795"/>
  <c r="C787"/>
  <c r="C778"/>
  <c r="C770"/>
  <c r="C762"/>
  <c r="C754"/>
  <c r="C746"/>
  <c r="C737"/>
  <c r="C715"/>
  <c r="C692"/>
  <c r="C670"/>
  <c r="C648"/>
  <c r="C626"/>
  <c r="C604"/>
  <c r="C561"/>
  <c r="C540"/>
  <c r="C518"/>
  <c r="C496"/>
  <c r="C473"/>
  <c r="C450"/>
  <c r="C429"/>
  <c r="C406"/>
  <c r="C368"/>
  <c r="C334"/>
  <c r="C284"/>
  <c r="C235"/>
  <c r="C187"/>
  <c r="C722"/>
  <c r="C706"/>
  <c r="C694"/>
  <c r="C682"/>
  <c r="C669"/>
  <c r="C663"/>
  <c r="C650"/>
  <c r="C637"/>
  <c r="C625"/>
  <c r="C612"/>
  <c r="C600"/>
  <c r="C581"/>
  <c r="C568"/>
  <c r="C556"/>
  <c r="C542"/>
  <c r="C530"/>
  <c r="C517"/>
  <c r="C505"/>
  <c r="C492"/>
  <c r="C480"/>
  <c r="C467"/>
  <c r="C454"/>
  <c r="C441"/>
  <c r="C428"/>
  <c r="C416"/>
  <c r="C404"/>
  <c r="C391"/>
  <c r="C369"/>
  <c r="C354"/>
  <c r="C338"/>
  <c r="C323"/>
  <c r="C308"/>
  <c r="C292"/>
  <c r="C277"/>
  <c r="C261"/>
  <c r="C245"/>
  <c r="C230"/>
  <c r="C78"/>
  <c r="C86"/>
  <c r="C94"/>
  <c r="C102"/>
  <c r="C110"/>
  <c r="C118"/>
  <c r="C127"/>
  <c r="C135"/>
  <c r="C143"/>
  <c r="C151"/>
  <c r="C159"/>
  <c r="C167"/>
  <c r="C175"/>
  <c r="C69"/>
  <c r="C61"/>
  <c r="C53"/>
  <c r="C45"/>
  <c r="C37"/>
  <c r="C29"/>
  <c r="C21"/>
  <c r="C13"/>
  <c r="C5"/>
  <c r="C1334"/>
  <c r="C1326"/>
  <c r="C1318"/>
  <c r="C1310"/>
  <c r="C1302"/>
  <c r="C1293"/>
  <c r="C1285"/>
  <c r="C1277"/>
  <c r="C1269"/>
  <c r="C1261"/>
  <c r="C1253"/>
  <c r="C1245"/>
  <c r="C1237"/>
  <c r="C1229"/>
  <c r="C1221"/>
  <c r="C1213"/>
  <c r="C1205"/>
  <c r="C1197"/>
  <c r="C1188"/>
  <c r="C1180"/>
  <c r="C1172"/>
  <c r="C1164"/>
  <c r="C1156"/>
  <c r="C1148"/>
  <c r="C1140"/>
  <c r="C1132"/>
  <c r="C1124"/>
  <c r="C1116"/>
  <c r="C1108"/>
  <c r="C1100"/>
  <c r="C1092"/>
  <c r="C1084"/>
  <c r="C1076"/>
  <c r="C1068"/>
  <c r="C1060"/>
  <c r="C1052"/>
  <c r="C1044"/>
  <c r="C1036"/>
  <c r="C1028"/>
  <c r="C1020"/>
  <c r="C1012"/>
  <c r="C1004"/>
  <c r="C996"/>
  <c r="C988"/>
  <c r="C980"/>
  <c r="C972"/>
  <c r="C964"/>
  <c r="C956"/>
  <c r="C948"/>
  <c r="C940"/>
  <c r="C932"/>
  <c r="C924"/>
  <c r="C916"/>
  <c r="C907"/>
  <c r="C899"/>
  <c r="C891"/>
  <c r="C883"/>
  <c r="C875"/>
  <c r="C867"/>
  <c r="C859"/>
  <c r="C851"/>
  <c r="C843"/>
  <c r="C835"/>
  <c r="C827"/>
  <c r="A5" i="11"/>
  <c r="C813" i="2"/>
  <c r="C805"/>
  <c r="C797"/>
  <c r="C789"/>
  <c r="C780"/>
  <c r="C772"/>
  <c r="C764"/>
  <c r="C756"/>
  <c r="C748"/>
  <c r="C740"/>
  <c r="C720"/>
  <c r="C698"/>
  <c r="C676"/>
  <c r="C654"/>
  <c r="C632"/>
  <c r="C610"/>
  <c r="C588"/>
  <c r="C566"/>
  <c r="C545"/>
  <c r="C523"/>
  <c r="C501"/>
  <c r="C479"/>
  <c r="C456"/>
  <c r="C435"/>
  <c r="C412"/>
  <c r="C389"/>
  <c r="C372"/>
  <c r="C355"/>
  <c r="C339"/>
  <c r="C322"/>
  <c r="C305"/>
  <c r="C289"/>
  <c r="C272"/>
  <c r="C256"/>
  <c r="C239"/>
  <c r="C222"/>
  <c r="C204"/>
  <c r="C191"/>
  <c r="A6" i="6"/>
  <c r="C733" i="2"/>
  <c r="C725"/>
  <c r="C716"/>
  <c r="C708"/>
  <c r="C702"/>
  <c r="C696"/>
  <c r="C689"/>
  <c r="C683"/>
  <c r="C677"/>
  <c r="C671"/>
  <c r="C664"/>
  <c r="C658"/>
  <c r="C652"/>
  <c r="C646"/>
  <c r="C639"/>
  <c r="C633"/>
  <c r="C188"/>
  <c r="C199"/>
  <c r="C209"/>
  <c r="C219"/>
  <c r="C232"/>
  <c r="C247"/>
  <c r="C263"/>
  <c r="C279"/>
  <c r="C294"/>
  <c r="C310"/>
  <c r="C325"/>
  <c r="C340"/>
  <c r="C356"/>
  <c r="C371"/>
  <c r="C386"/>
  <c r="C399"/>
  <c r="C411"/>
  <c r="C424"/>
  <c r="C436"/>
  <c r="C449"/>
  <c r="C462"/>
  <c r="C475"/>
  <c r="C487"/>
  <c r="C500"/>
  <c r="C513"/>
  <c r="C525"/>
  <c r="C538"/>
  <c r="C551"/>
  <c r="C564"/>
  <c r="C576"/>
  <c r="C589"/>
  <c r="C602"/>
  <c r="C614"/>
  <c r="C627"/>
  <c r="C647"/>
  <c r="C672"/>
  <c r="C697"/>
  <c r="C727"/>
  <c r="C208"/>
  <c r="C276"/>
  <c r="C343"/>
  <c r="C417"/>
  <c r="C507"/>
  <c r="C593"/>
  <c r="C681"/>
  <c r="C750"/>
  <c r="C783"/>
  <c r="C815"/>
  <c r="C845"/>
  <c r="C877"/>
  <c r="C909"/>
  <c r="C942"/>
  <c r="C974"/>
  <c r="C1006"/>
  <c r="C1038"/>
  <c r="C1070"/>
  <c r="C1102"/>
  <c r="C1134"/>
  <c r="C1166"/>
  <c r="C1199"/>
  <c r="C1231"/>
  <c r="C1263"/>
  <c r="C1296"/>
  <c r="C1328"/>
  <c r="C23"/>
  <c r="C55"/>
  <c r="C165"/>
  <c r="C133"/>
  <c r="C100"/>
  <c r="C186"/>
  <c r="C196"/>
  <c r="C207"/>
  <c r="C216"/>
  <c r="C226"/>
  <c r="C241"/>
  <c r="C257"/>
  <c r="C273"/>
  <c r="C288"/>
  <c r="C304"/>
  <c r="C319"/>
  <c r="C335"/>
  <c r="C350"/>
  <c r="C365"/>
  <c r="C381"/>
  <c r="C394"/>
  <c r="C407"/>
  <c r="C419"/>
  <c r="C431"/>
  <c r="C444"/>
  <c r="C457"/>
  <c r="C471"/>
  <c r="C483"/>
  <c r="C495"/>
  <c r="C508"/>
  <c r="C521"/>
  <c r="C533"/>
  <c r="C546"/>
  <c r="C559"/>
  <c r="C571"/>
  <c r="C584"/>
  <c r="C597"/>
  <c r="C609"/>
  <c r="C622"/>
  <c r="C641"/>
  <c r="C666"/>
  <c r="C691"/>
  <c r="C719"/>
  <c r="C193"/>
  <c r="C260"/>
  <c r="C326"/>
  <c r="C395"/>
  <c r="C485"/>
  <c r="C572"/>
  <c r="C659"/>
  <c r="C742"/>
  <c r="C774"/>
  <c r="C807"/>
  <c r="C837"/>
  <c r="C869"/>
  <c r="C901"/>
  <c r="C934"/>
  <c r="C966"/>
  <c r="C998"/>
  <c r="C1030"/>
  <c r="C1062"/>
  <c r="C1094"/>
  <c r="C1126"/>
  <c r="C1158"/>
  <c r="C1190"/>
  <c r="C1223"/>
  <c r="C1255"/>
  <c r="C1287"/>
  <c r="C1320"/>
  <c r="C15"/>
  <c r="C47"/>
  <c r="C173"/>
  <c r="C141"/>
  <c r="C108"/>
  <c r="C76"/>
  <c r="C184"/>
  <c r="C194"/>
  <c r="C203"/>
  <c r="C214"/>
  <c r="C224"/>
  <c r="C240"/>
  <c r="C255"/>
  <c r="C271"/>
  <c r="C286"/>
  <c r="C302"/>
  <c r="C317"/>
  <c r="C333"/>
  <c r="C348"/>
  <c r="C363"/>
  <c r="C379"/>
  <c r="C393"/>
  <c r="C405"/>
  <c r="C418"/>
  <c r="C430"/>
  <c r="C443"/>
  <c r="C455"/>
  <c r="C469"/>
  <c r="C481"/>
  <c r="C494"/>
  <c r="C506"/>
  <c r="C519"/>
  <c r="C532"/>
  <c r="C544"/>
  <c r="C557"/>
  <c r="C570"/>
  <c r="C583"/>
  <c r="C595"/>
  <c r="C608"/>
  <c r="C620"/>
  <c r="C634"/>
  <c r="C660"/>
  <c r="C685"/>
  <c r="C710"/>
  <c r="C183"/>
  <c r="C244"/>
  <c r="C309"/>
  <c r="C376"/>
  <c r="C463"/>
  <c r="C550"/>
  <c r="C638"/>
  <c r="C726"/>
  <c r="C766"/>
  <c r="C799"/>
  <c r="C829"/>
  <c r="C861"/>
  <c r="C893"/>
  <c r="C926"/>
  <c r="C958"/>
  <c r="C990"/>
  <c r="C1022"/>
  <c r="C1054"/>
  <c r="C1086"/>
  <c r="C1118"/>
  <c r="C1150"/>
  <c r="C1182"/>
  <c r="C1215"/>
  <c r="C1247"/>
  <c r="C1279"/>
  <c r="C1312"/>
  <c r="C7"/>
  <c r="C39"/>
  <c r="C71"/>
  <c r="C149"/>
  <c r="C116"/>
  <c r="C84"/>
  <c r="E58" i="9"/>
  <c r="H1098" i="2" s="1"/>
  <c r="H477"/>
  <c r="E42" i="8"/>
  <c r="H520" i="2" s="1"/>
  <c r="H560"/>
  <c r="C43" i="6"/>
  <c r="H211" i="2" s="1"/>
  <c r="H205"/>
  <c r="D3" i="12"/>
  <c r="D15"/>
  <c r="E26" i="9"/>
  <c r="H987" i="2" s="1"/>
  <c r="N19" i="8"/>
  <c r="H769" i="2" s="1"/>
  <c r="H87"/>
  <c r="I17" i="7"/>
  <c r="I31" s="1"/>
  <c r="D17"/>
  <c r="L18"/>
  <c r="H421" i="2" s="1"/>
  <c r="H537"/>
  <c r="E31" i="7"/>
  <c r="H280" i="2" s="1"/>
  <c r="G31" i="5"/>
  <c r="H170" i="2" s="1"/>
  <c r="C45" i="8"/>
  <c r="B31" i="10"/>
  <c r="B98" i="4"/>
  <c r="I27" i="10"/>
  <c r="H1294" i="2" s="1"/>
  <c r="I18" i="10"/>
  <c r="H1286" i="2" s="1"/>
  <c r="D98" i="9"/>
  <c r="H1092" i="2" s="1"/>
  <c r="E73" i="9"/>
  <c r="H1110" i="2" s="1"/>
  <c r="H988"/>
  <c r="H40" i="8"/>
  <c r="G19"/>
  <c r="J19" s="1"/>
  <c r="H649" i="2" s="1"/>
  <c r="D42" i="8"/>
  <c r="H490" i="2" s="1"/>
  <c r="E79" i="11"/>
  <c r="H1320" i="2" s="1"/>
  <c r="E149" i="11"/>
  <c r="H1325" i="2" s="1"/>
  <c r="G61" i="4"/>
  <c r="H110" i="2" s="1"/>
  <c r="H108"/>
  <c r="C76" i="4"/>
  <c r="H57" i="2" s="1"/>
  <c r="H50"/>
  <c r="D15" i="14"/>
  <c r="C202" i="2"/>
  <c r="C211"/>
  <c r="C220"/>
  <c r="C229"/>
  <c r="C237"/>
  <c r="C246"/>
  <c r="C254"/>
  <c r="C262"/>
  <c r="C270"/>
  <c r="C278"/>
  <c r="C287"/>
  <c r="C295"/>
  <c r="C303"/>
  <c r="C312"/>
  <c r="C320"/>
  <c r="C328"/>
  <c r="C336"/>
  <c r="C345"/>
  <c r="C353"/>
  <c r="C362"/>
  <c r="C370"/>
  <c r="C378"/>
  <c r="C387"/>
  <c r="C398"/>
  <c r="C409"/>
  <c r="C420"/>
  <c r="C432"/>
  <c r="C442"/>
  <c r="C453"/>
  <c r="C465"/>
  <c r="C476"/>
  <c r="C488"/>
  <c r="C499"/>
  <c r="C510"/>
  <c r="C520"/>
  <c r="C531"/>
  <c r="C543"/>
  <c r="C553"/>
  <c r="C563"/>
  <c r="C574"/>
  <c r="C585"/>
  <c r="C596"/>
  <c r="C607"/>
  <c r="C618"/>
  <c r="C629"/>
  <c r="C640"/>
  <c r="C651"/>
  <c r="C662"/>
  <c r="C673"/>
  <c r="C684"/>
  <c r="C695"/>
  <c r="C707"/>
  <c r="C718"/>
  <c r="C729"/>
  <c r="C738"/>
  <c r="C743"/>
  <c r="C747"/>
  <c r="C751"/>
  <c r="C755"/>
  <c r="C759"/>
  <c r="C763"/>
  <c r="C767"/>
  <c r="C771"/>
  <c r="C775"/>
  <c r="C779"/>
  <c r="C784"/>
  <c r="C788"/>
  <c r="C792"/>
  <c r="C796"/>
  <c r="C800"/>
  <c r="C804"/>
  <c r="C808"/>
  <c r="C812"/>
  <c r="C816"/>
  <c r="C820"/>
  <c r="C822"/>
  <c r="C826"/>
  <c r="C830"/>
  <c r="C834"/>
  <c r="C838"/>
  <c r="C842"/>
  <c r="C846"/>
  <c r="C850"/>
  <c r="C854"/>
  <c r="C858"/>
  <c r="C862"/>
  <c r="C866"/>
  <c r="C870"/>
  <c r="C874"/>
  <c r="C878"/>
  <c r="C882"/>
  <c r="C886"/>
  <c r="C890"/>
  <c r="C894"/>
  <c r="C898"/>
  <c r="C902"/>
  <c r="C906"/>
  <c r="C910"/>
  <c r="C915"/>
  <c r="C919"/>
  <c r="C923"/>
  <c r="C927"/>
  <c r="C931"/>
  <c r="C935"/>
  <c r="C939"/>
  <c r="C943"/>
  <c r="C947"/>
  <c r="C951"/>
  <c r="C955"/>
  <c r="C959"/>
  <c r="C963"/>
  <c r="C967"/>
  <c r="C971"/>
  <c r="C975"/>
  <c r="C979"/>
  <c r="C983"/>
  <c r="C987"/>
  <c r="C991"/>
  <c r="C995"/>
  <c r="C999"/>
  <c r="C1003"/>
  <c r="C1007"/>
  <c r="C1011"/>
  <c r="C1015"/>
  <c r="C1019"/>
  <c r="C1023"/>
  <c r="C1027"/>
  <c r="C1031"/>
  <c r="C1035"/>
  <c r="C1039"/>
  <c r="C1043"/>
  <c r="C1047"/>
  <c r="C1051"/>
  <c r="C1055"/>
  <c r="C1059"/>
  <c r="C1063"/>
  <c r="C1067"/>
  <c r="C1071"/>
  <c r="C1075"/>
  <c r="C1079"/>
  <c r="C1083"/>
  <c r="C1087"/>
  <c r="C1091"/>
  <c r="C1095"/>
  <c r="C1099"/>
  <c r="C1103"/>
  <c r="C1107"/>
  <c r="C1111"/>
  <c r="C1115"/>
  <c r="C1119"/>
  <c r="C1123"/>
  <c r="C1127"/>
  <c r="C1131"/>
  <c r="C1135"/>
  <c r="C1139"/>
  <c r="C1143"/>
  <c r="C1147"/>
  <c r="C1151"/>
  <c r="C1155"/>
  <c r="C1159"/>
  <c r="C1163"/>
  <c r="C1167"/>
  <c r="C1171"/>
  <c r="C1175"/>
  <c r="C1179"/>
  <c r="C1183"/>
  <c r="C1187"/>
  <c r="C1191"/>
  <c r="C1195"/>
  <c r="C1200"/>
  <c r="C1204"/>
  <c r="C1208"/>
  <c r="C1212"/>
  <c r="C1216"/>
  <c r="C1220"/>
  <c r="C1224"/>
  <c r="C1228"/>
  <c r="C1232"/>
  <c r="C1236"/>
  <c r="C1240"/>
  <c r="C1244"/>
  <c r="C1248"/>
  <c r="C1252"/>
  <c r="C1256"/>
  <c r="C1260"/>
  <c r="C1264"/>
  <c r="C1268"/>
  <c r="C1272"/>
  <c r="C1276"/>
  <c r="C1280"/>
  <c r="C1284"/>
  <c r="C1288"/>
  <c r="C1292"/>
  <c r="C1297"/>
  <c r="C1301"/>
  <c r="C1305"/>
  <c r="C1309"/>
  <c r="C1313"/>
  <c r="C1317"/>
  <c r="C1321"/>
  <c r="C1325"/>
  <c r="C1329"/>
  <c r="C1333"/>
  <c r="A5" i="9"/>
  <c r="C4" i="2"/>
  <c r="C8"/>
  <c r="C12"/>
  <c r="C16"/>
  <c r="C20"/>
  <c r="C24"/>
  <c r="C28"/>
  <c r="C32"/>
  <c r="C36"/>
  <c r="C40"/>
  <c r="C44"/>
  <c r="C48"/>
  <c r="C52"/>
  <c r="C56"/>
  <c r="C60"/>
  <c r="C64"/>
  <c r="C68"/>
  <c r="C72"/>
  <c r="C176"/>
  <c r="C172"/>
  <c r="C168"/>
  <c r="C164"/>
  <c r="C160"/>
  <c r="C156"/>
  <c r="C152"/>
  <c r="C148"/>
  <c r="C144"/>
  <c r="C140"/>
  <c r="C136"/>
  <c r="C132"/>
  <c r="C128"/>
  <c r="C123"/>
  <c r="C119"/>
  <c r="C115"/>
  <c r="C111"/>
  <c r="C107"/>
  <c r="C103"/>
  <c r="C99"/>
  <c r="C95"/>
  <c r="C91"/>
  <c r="C87"/>
  <c r="C83"/>
  <c r="C79"/>
  <c r="C75"/>
  <c r="C711"/>
  <c r="C717"/>
  <c r="C724"/>
  <c r="C730"/>
  <c r="C736"/>
  <c r="C181"/>
  <c r="C189"/>
  <c r="C198"/>
  <c r="C206"/>
  <c r="C215"/>
  <c r="C225"/>
  <c r="C233"/>
  <c r="C242"/>
  <c r="C250"/>
  <c r="C258"/>
  <c r="C266"/>
  <c r="C274"/>
  <c r="C282"/>
  <c r="C291"/>
  <c r="C299"/>
  <c r="C307"/>
  <c r="C316"/>
  <c r="C324"/>
  <c r="C332"/>
  <c r="C341"/>
  <c r="C349"/>
  <c r="C357"/>
  <c r="C366"/>
  <c r="C374"/>
  <c r="C382"/>
  <c r="C392"/>
  <c r="C403"/>
  <c r="C414"/>
  <c r="C426"/>
  <c r="C437"/>
  <c r="C448"/>
  <c r="C459"/>
  <c r="C470"/>
  <c r="C482"/>
  <c r="C493"/>
  <c r="C504"/>
  <c r="C515"/>
  <c r="C526"/>
  <c r="C537"/>
  <c r="C547"/>
  <c r="C558"/>
  <c r="C569"/>
  <c r="C579"/>
  <c r="C590"/>
  <c r="C601"/>
  <c r="C613"/>
  <c r="C623"/>
  <c r="C635"/>
  <c r="C645"/>
  <c r="C657"/>
  <c r="C668"/>
  <c r="C679"/>
  <c r="C690"/>
  <c r="C701"/>
  <c r="C712"/>
  <c r="C723"/>
  <c r="C734"/>
  <c r="C741"/>
  <c r="C745"/>
  <c r="C749"/>
  <c r="C753"/>
  <c r="C757"/>
  <c r="C761"/>
  <c r="C765"/>
  <c r="C769"/>
  <c r="C773"/>
  <c r="C777"/>
  <c r="C782"/>
  <c r="C786"/>
  <c r="C790"/>
  <c r="C794"/>
  <c r="C798"/>
  <c r="C802"/>
  <c r="C806"/>
  <c r="C810"/>
  <c r="C814"/>
  <c r="C818"/>
  <c r="A6" i="5"/>
  <c r="C824" i="2"/>
  <c r="C828"/>
  <c r="C832"/>
  <c r="C836"/>
  <c r="C840"/>
  <c r="C844"/>
  <c r="C848"/>
  <c r="C852"/>
  <c r="C856"/>
  <c r="C860"/>
  <c r="C864"/>
  <c r="C868"/>
  <c r="C872"/>
  <c r="C876"/>
  <c r="C880"/>
  <c r="C884"/>
  <c r="C888"/>
  <c r="C892"/>
  <c r="C896"/>
  <c r="C900"/>
  <c r="C904"/>
  <c r="C908"/>
  <c r="C913"/>
  <c r="C917"/>
  <c r="C921"/>
  <c r="C925"/>
  <c r="C929"/>
  <c r="C933"/>
  <c r="C937"/>
  <c r="C941"/>
  <c r="C945"/>
  <c r="C949"/>
  <c r="C953"/>
  <c r="C957"/>
  <c r="C961"/>
  <c r="C965"/>
  <c r="C969"/>
  <c r="C973"/>
  <c r="C977"/>
  <c r="C981"/>
  <c r="C985"/>
  <c r="C989"/>
  <c r="C993"/>
  <c r="C997"/>
  <c r="C1001"/>
  <c r="C1005"/>
  <c r="C1009"/>
  <c r="C1013"/>
  <c r="C1017"/>
  <c r="C1021"/>
  <c r="C1025"/>
  <c r="C1029"/>
  <c r="C1033"/>
  <c r="C1037"/>
  <c r="C1041"/>
  <c r="C1045"/>
  <c r="C1049"/>
  <c r="C1053"/>
  <c r="C1057"/>
  <c r="C1061"/>
  <c r="C1065"/>
  <c r="C1069"/>
  <c r="C1073"/>
  <c r="C1077"/>
  <c r="C1081"/>
  <c r="C1085"/>
  <c r="C1089"/>
  <c r="C1093"/>
  <c r="C1097"/>
  <c r="C1101"/>
  <c r="C1105"/>
  <c r="C1109"/>
  <c r="C1113"/>
  <c r="C1117"/>
  <c r="C1121"/>
  <c r="C1125"/>
  <c r="C1129"/>
  <c r="C1133"/>
  <c r="C1137"/>
  <c r="C1141"/>
  <c r="C1145"/>
  <c r="C1149"/>
  <c r="C1153"/>
  <c r="C1157"/>
  <c r="C1161"/>
  <c r="C1165"/>
  <c r="C1169"/>
  <c r="C1173"/>
  <c r="C1177"/>
  <c r="C1181"/>
  <c r="C1185"/>
  <c r="C1189"/>
  <c r="C1193"/>
  <c r="C1198"/>
  <c r="C1202"/>
  <c r="C1206"/>
  <c r="C1210"/>
  <c r="C1214"/>
  <c r="C1218"/>
  <c r="C1222"/>
  <c r="C1226"/>
  <c r="C1230"/>
  <c r="C1234"/>
  <c r="C1238"/>
  <c r="C1242"/>
  <c r="C1246"/>
  <c r="C1250"/>
  <c r="C1254"/>
  <c r="C1258"/>
  <c r="C1262"/>
  <c r="C1266"/>
  <c r="C1270"/>
  <c r="C1274"/>
  <c r="C1278"/>
  <c r="C1282"/>
  <c r="C1286"/>
  <c r="C1290"/>
  <c r="C1294"/>
  <c r="C1299"/>
  <c r="C1303"/>
  <c r="C1307"/>
  <c r="C1311"/>
  <c r="C1315"/>
  <c r="C1319"/>
  <c r="C1323"/>
  <c r="C1327"/>
  <c r="C1331"/>
  <c r="C1335"/>
  <c r="A6" i="4"/>
  <c r="C6" i="2"/>
  <c r="C10"/>
  <c r="C14"/>
  <c r="C18"/>
  <c r="C22"/>
  <c r="C26"/>
  <c r="C30"/>
  <c r="C34"/>
  <c r="C38"/>
  <c r="C42"/>
  <c r="C46"/>
  <c r="C50"/>
  <c r="C54"/>
  <c r="C58"/>
  <c r="C62"/>
  <c r="C66"/>
  <c r="C70"/>
  <c r="C178"/>
  <c r="C174"/>
  <c r="C170"/>
  <c r="C166"/>
  <c r="C162"/>
  <c r="C158"/>
  <c r="C154"/>
  <c r="C150"/>
  <c r="C146"/>
  <c r="C142"/>
  <c r="C138"/>
  <c r="C134"/>
  <c r="C130"/>
  <c r="C125"/>
  <c r="C121"/>
  <c r="C117"/>
  <c r="C113"/>
  <c r="C109"/>
  <c r="C105"/>
  <c r="C101"/>
  <c r="C97"/>
  <c r="C93"/>
  <c r="C89"/>
  <c r="C85"/>
  <c r="C81"/>
  <c r="C77"/>
  <c r="G29" i="8"/>
  <c r="J29" s="1"/>
  <c r="H1038" i="2"/>
  <c r="C98" i="9"/>
  <c r="H1049" i="2" s="1"/>
  <c r="C85" i="4"/>
  <c r="H64" i="2" s="1"/>
  <c r="D94" i="4"/>
  <c r="R32" i="8"/>
  <c r="H900" i="2" s="1"/>
  <c r="E92" i="9"/>
  <c r="H1081" i="2"/>
  <c r="E77" i="9"/>
  <c r="C68"/>
  <c r="H1022" i="2" s="1"/>
  <c r="F61" i="11"/>
  <c r="H1328" i="2" s="1"/>
  <c r="F131" i="11"/>
  <c r="H1333" i="2" s="1"/>
  <c r="E13" i="14"/>
  <c r="D13" s="1"/>
  <c r="F114" i="11"/>
  <c r="H1332" i="2" s="1"/>
  <c r="C79" i="11"/>
  <c r="H1300" i="2" s="1"/>
  <c r="F78" i="11"/>
  <c r="H1329" i="2" s="1"/>
  <c r="F148" i="11"/>
  <c r="H1334" i="2" s="1"/>
  <c r="E12" i="14"/>
  <c r="D12" s="1"/>
  <c r="F97" i="11"/>
  <c r="H1331" i="2" s="1"/>
  <c r="F27" i="11"/>
  <c r="H1326" i="2" s="1"/>
  <c r="H642"/>
  <c r="R12" i="8"/>
  <c r="H882" i="2" s="1"/>
  <c r="P42" i="8"/>
  <c r="H850" i="2" s="1"/>
  <c r="H848"/>
  <c r="R38" i="8"/>
  <c r="H906" i="2" s="1"/>
  <c r="H666"/>
  <c r="H1151"/>
  <c r="F99" i="9"/>
  <c r="H1179" i="2" s="1"/>
  <c r="R22" i="8"/>
  <c r="F34" i="7"/>
  <c r="H305" i="2" s="1"/>
  <c r="H302"/>
  <c r="H34" i="7"/>
  <c r="H349" i="2" s="1"/>
  <c r="H346"/>
  <c r="H862"/>
  <c r="R23" i="8"/>
  <c r="H892" i="2" s="1"/>
  <c r="H456"/>
  <c r="M34" i="7"/>
  <c r="H459" i="2" s="1"/>
  <c r="R34" i="8"/>
  <c r="H902" i="2" s="1"/>
  <c r="H872"/>
  <c r="H641"/>
  <c r="R11" i="8"/>
  <c r="H881" i="2" s="1"/>
  <c r="R26" i="8"/>
  <c r="H895" i="2" s="1"/>
  <c r="H655"/>
  <c r="L42" i="8"/>
  <c r="H730" i="2" s="1"/>
  <c r="N40" i="8"/>
  <c r="H728" i="2"/>
  <c r="R37" i="8"/>
  <c r="H905" i="2" s="1"/>
  <c r="H875"/>
  <c r="R17" i="8"/>
  <c r="H887" i="2" s="1"/>
  <c r="H857"/>
  <c r="R20" i="8"/>
  <c r="H890" i="2" s="1"/>
  <c r="H860"/>
  <c r="H879"/>
  <c r="R41" i="8"/>
  <c r="H909" i="2" s="1"/>
  <c r="D68" i="9"/>
  <c r="H870" i="2"/>
  <c r="H288"/>
  <c r="H332"/>
  <c r="D46" i="4"/>
  <c r="D56" s="1"/>
  <c r="H761" i="2"/>
  <c r="H552"/>
  <c r="H762"/>
  <c r="H554"/>
  <c r="H778"/>
  <c r="E14" i="14"/>
  <c r="D14" s="1"/>
  <c r="H37" i="4"/>
  <c r="H95" s="1"/>
  <c r="H785" i="2"/>
  <c r="H643"/>
  <c r="K42" i="8"/>
  <c r="H700" i="2" s="1"/>
  <c r="J18" i="8"/>
  <c r="H648" i="2" s="1"/>
  <c r="L26" i="7"/>
  <c r="H429" i="2" s="1"/>
  <c r="C31" i="5"/>
  <c r="G56" i="4"/>
  <c r="H93" i="2"/>
  <c r="G37" i="4"/>
  <c r="H94" i="2" s="1"/>
  <c r="C46" i="4"/>
  <c r="H33" i="2" s="1"/>
  <c r="H11"/>
  <c r="H858"/>
  <c r="H768"/>
  <c r="H661"/>
  <c r="R33" i="8"/>
  <c r="H901" i="2" s="1"/>
  <c r="F42" i="8"/>
  <c r="H550" i="2" s="1"/>
  <c r="H548"/>
  <c r="G40" i="8"/>
  <c r="H658" i="2"/>
  <c r="R30" i="8"/>
  <c r="H898" i="2" s="1"/>
  <c r="H568"/>
  <c r="R21" i="8"/>
  <c r="H891" i="2" s="1"/>
  <c r="H651"/>
  <c r="R14" i="8"/>
  <c r="H884" i="2" s="1"/>
  <c r="H644"/>
  <c r="H646"/>
  <c r="R16" i="8"/>
  <c r="H886" i="2" s="1"/>
  <c r="D44" i="6"/>
  <c r="D46" s="1"/>
  <c r="D31" i="5"/>
  <c r="D36" s="1"/>
  <c r="L13" i="7"/>
  <c r="H416" i="2" s="1"/>
  <c r="H218"/>
  <c r="C17" i="7"/>
  <c r="H390" i="2"/>
  <c r="B153" i="11"/>
  <c r="B56" i="6"/>
  <c r="B33" i="10"/>
  <c r="B113" i="9"/>
  <c r="B52" i="5"/>
  <c r="B111" i="9"/>
  <c r="H656" i="2" l="1"/>
  <c r="R27" i="8"/>
  <c r="H896" i="2" s="1"/>
  <c r="C46" i="9"/>
  <c r="H943" i="2" s="1"/>
  <c r="G36" i="5"/>
  <c r="H174" i="2" s="1"/>
  <c r="E45" i="9"/>
  <c r="H1006" i="2" s="1"/>
  <c r="Q19" i="8"/>
  <c r="H859" i="2" s="1"/>
  <c r="C44" i="6"/>
  <c r="H212" i="2" s="1"/>
  <c r="I34" i="7"/>
  <c r="H371" i="2" s="1"/>
  <c r="H368"/>
  <c r="H354"/>
  <c r="H244"/>
  <c r="D31" i="7"/>
  <c r="L17"/>
  <c r="H420" i="2" s="1"/>
  <c r="H567"/>
  <c r="E34" i="7"/>
  <c r="H283" i="2" s="1"/>
  <c r="G71" i="4"/>
  <c r="H120" i="2" s="1"/>
  <c r="H608"/>
  <c r="H42" i="8"/>
  <c r="H610" i="2" s="1"/>
  <c r="G42" i="8"/>
  <c r="H580" i="2" s="1"/>
  <c r="H559"/>
  <c r="R29" i="8"/>
  <c r="H897" i="2" s="1"/>
  <c r="H657"/>
  <c r="E68" i="9"/>
  <c r="H1108" i="2" s="1"/>
  <c r="H33" i="5"/>
  <c r="D33"/>
  <c r="C94" i="4"/>
  <c r="H71" i="2" s="1"/>
  <c r="C99" i="9"/>
  <c r="H1050" i="2" s="1"/>
  <c r="R18" i="8"/>
  <c r="H888" i="2" s="1"/>
  <c r="D95" i="4"/>
  <c r="D18" i="12"/>
  <c r="C7" i="14"/>
  <c r="D7" s="1"/>
  <c r="H1129" i="2"/>
  <c r="E87" i="9"/>
  <c r="H1124" i="2" s="1"/>
  <c r="H1114"/>
  <c r="F149" i="11"/>
  <c r="H1335" i="2" s="1"/>
  <c r="F79" i="11"/>
  <c r="H1330" i="2" s="1"/>
  <c r="H1065"/>
  <c r="D99" i="9"/>
  <c r="H1093" i="2" s="1"/>
  <c r="H788"/>
  <c r="Q40" i="8"/>
  <c r="N42"/>
  <c r="H790" i="2" s="1"/>
  <c r="C36" i="5"/>
  <c r="C33"/>
  <c r="H144" i="2" s="1"/>
  <c r="H143"/>
  <c r="G33" i="5"/>
  <c r="H171" i="2" s="1"/>
  <c r="H107"/>
  <c r="C11" i="14"/>
  <c r="D4" i="12"/>
  <c r="C56" i="4"/>
  <c r="H578" i="2"/>
  <c r="J40" i="8"/>
  <c r="J42" s="1"/>
  <c r="H670" i="2" s="1"/>
  <c r="D42" i="5"/>
  <c r="D37"/>
  <c r="H37"/>
  <c r="H222" i="2"/>
  <c r="C31" i="7"/>
  <c r="E46" i="9" l="1"/>
  <c r="H1007" i="2" s="1"/>
  <c r="R19" i="8"/>
  <c r="H889" i="2" s="1"/>
  <c r="C46" i="6"/>
  <c r="E10" i="14" s="1"/>
  <c r="D10" s="1"/>
  <c r="H258" i="2"/>
  <c r="D34" i="7"/>
  <c r="H261" i="2" s="1"/>
  <c r="G79" i="4"/>
  <c r="H124" i="2" s="1"/>
  <c r="E98" i="9"/>
  <c r="H1135" i="2" s="1"/>
  <c r="H878"/>
  <c r="Q42" i="8"/>
  <c r="H880" i="2" s="1"/>
  <c r="R40" i="8"/>
  <c r="H908" i="2" s="1"/>
  <c r="H42" i="5"/>
  <c r="D44" s="1"/>
  <c r="H668" i="2"/>
  <c r="C37" i="5"/>
  <c r="H147" i="2"/>
  <c r="D8" i="12"/>
  <c r="G37" i="5"/>
  <c r="C42"/>
  <c r="C45" s="1"/>
  <c r="H156" i="2" s="1"/>
  <c r="C95" i="4"/>
  <c r="H41" i="2"/>
  <c r="D45" i="5"/>
  <c r="C34" i="7"/>
  <c r="H236" i="2"/>
  <c r="L31" i="7"/>
  <c r="H434" i="2" s="1"/>
  <c r="H214" l="1"/>
  <c r="D5" i="12"/>
  <c r="D19" s="1"/>
  <c r="D12"/>
  <c r="D13"/>
  <c r="D11"/>
  <c r="D10"/>
  <c r="G95" i="4"/>
  <c r="E6" i="14" s="1"/>
  <c r="H44" i="5"/>
  <c r="E99" i="9"/>
  <c r="H1136" i="2" s="1"/>
  <c r="H45" i="5"/>
  <c r="R42" i="8"/>
  <c r="H910" i="2" s="1"/>
  <c r="D21" i="12"/>
  <c r="H148" i="2"/>
  <c r="H153"/>
  <c r="G42" i="5"/>
  <c r="H175" i="2"/>
  <c r="D16" i="12"/>
  <c r="H72" i="2"/>
  <c r="D6" i="12"/>
  <c r="C6" i="14"/>
  <c r="H239" i="2"/>
  <c r="L34" i="7"/>
  <c r="D20" i="12" l="1"/>
  <c r="H125" i="2"/>
  <c r="D6" i="14"/>
  <c r="H176" i="2"/>
  <c r="G45" i="5"/>
  <c r="H179" i="2" s="1"/>
  <c r="C44" i="5"/>
  <c r="D23" i="12"/>
  <c r="D24"/>
  <c r="D22"/>
  <c r="G44" i="5"/>
  <c r="H178" i="2" s="1"/>
  <c r="E11" i="14"/>
  <c r="D11" s="1"/>
  <c r="H437" i="2"/>
  <c r="E8" i="14" l="1"/>
  <c r="D8" s="1"/>
  <c r="H155" i="2"/>
</calcChain>
</file>

<file path=xl/sharedStrings.xml><?xml version="1.0" encoding="utf-8"?>
<sst xmlns="http://schemas.openxmlformats.org/spreadsheetml/2006/main" count="4333" uniqueCount="1013">
  <si>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</si>
  <si>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</si>
  <si>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</si>
  <si>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</si>
  <si>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</si>
  <si>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</si>
  <si>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</si>
  <si>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</si>
  <si>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</si>
  <si>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</si>
  <si>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</si>
  <si>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</si>
  <si>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</si>
  <si>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</si>
  <si>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</si>
  <si>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</si>
  <si>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</si>
  <si>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</si>
  <si>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</si>
  <si>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</si>
  <si>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</si>
  <si>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</si>
  <si>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</si>
  <si>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</si>
  <si>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</si>
  <si>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</si>
  <si>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</si>
  <si>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</si>
  <si>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</si>
  <si>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</si>
  <si>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</si>
  <si>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</si>
  <si>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</si>
  <si>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</si>
  <si>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</si>
  <si>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</si>
  <si>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</si>
  <si>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</si>
  <si>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</si>
  <si>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</si>
  <si>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</si>
  <si>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</si>
  <si>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</si>
  <si>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</si>
  <si>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</si>
  <si>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</si>
  <si>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</si>
  <si>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</si>
  <si>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</si>
  <si>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</si>
  <si>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</si>
  <si>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</si>
  <si>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</si>
  <si>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</si>
  <si>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</si>
  <si>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</si>
  <si>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</si>
  <si>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</si>
  <si>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</si>
  <si>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</si>
  <si>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</si>
  <si>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</si>
  <si>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</si>
  <si>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</si>
  <si>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</si>
  <si>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</si>
  <si>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</si>
  <si>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</si>
  <si>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</si>
  <si>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</si>
  <si>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</si>
  <si>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</si>
  <si>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</si>
  <si>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</si>
  <si>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</si>
  <si>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</si>
  <si>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</si>
  <si>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</si>
  <si>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</si>
  <si>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</si>
  <si>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</si>
  <si>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</si>
  <si>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</si>
  <si>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</si>
  <si>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</si>
  <si>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</si>
  <si>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</si>
  <si>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</si>
  <si>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</si>
  <si>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</si>
  <si>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</si>
  <si>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</si>
  <si>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</si>
  <si>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</si>
  <si>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</si>
  <si>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</si>
  <si>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</si>
  <si>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</si>
  <si>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</si>
  <si>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</si>
  <si>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</si>
  <si>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</si>
  <si>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</si>
  <si>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</si>
  <si>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</si>
  <si>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</si>
  <si>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</si>
  <si>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</si>
  <si>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</si>
  <si>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</si>
  <si>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</si>
  <si>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</si>
  <si>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</si>
  <si>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</si>
  <si>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</si>
  <si>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</si>
  <si>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</si>
  <si>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</si>
  <si>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</si>
  <si>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</si>
  <si>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</si>
  <si>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</si>
  <si>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</si>
  <si>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</si>
  <si>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</si>
  <si>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</si>
  <si>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</si>
  <si>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</si>
  <si>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</si>
  <si>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</si>
  <si>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</si>
  <si>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</si>
  <si>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</si>
  <si>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</si>
  <si>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</si>
  <si>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</si>
  <si>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</si>
  <si>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</si>
  <si>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</si>
  <si>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</si>
  <si>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</si>
  <si>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</si>
  <si>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</si>
  <si>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</si>
  <si>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</si>
  <si>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</si>
  <si>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</si>
  <si>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</si>
  <si>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</si>
  <si>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</si>
  <si>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</si>
  <si>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</si>
  <si>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</si>
  <si>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</si>
  <si>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</si>
  <si>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</si>
  <si>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</si>
  <si>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</si>
  <si>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</si>
  <si>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</si>
  <si>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</si>
  <si>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</si>
  <si>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</si>
  <si>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</si>
  <si>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</si>
  <si>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</si>
  <si>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</si>
  <si>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</si>
  <si>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</si>
  <si>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</si>
  <si>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</si>
  <si>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</si>
  <si>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</si>
  <si>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</si>
  <si>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</si>
  <si>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</si>
  <si>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</si>
  <si>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</si>
  <si>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</si>
  <si>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</si>
  <si>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</si>
  <si>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</si>
  <si>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</si>
  <si>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</si>
  <si>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</si>
  <si>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</si>
  <si>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</si>
  <si>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</si>
  <si>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</si>
  <si>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</si>
  <si>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</si>
  <si>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</si>
  <si>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</si>
  <si>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</si>
  <si>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</si>
  <si>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</si>
  <si>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</si>
  <si>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</si>
  <si>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</si>
  <si>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</si>
  <si>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</si>
  <si>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</si>
  <si>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</si>
  <si>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</si>
  <si>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</si>
  <si>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</si>
  <si>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</si>
  <si>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</si>
  <si>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</si>
  <si>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</si>
  <si>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</si>
  <si>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</si>
  <si>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</si>
  <si>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</si>
  <si>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</si>
  <si>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</si>
  <si>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</si>
  <si>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</si>
  <si>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</si>
  <si>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</si>
  <si>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</si>
  <si>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</si>
  <si>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</si>
  <si>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</si>
  <si>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</si>
  <si>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</si>
  <si>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</si>
  <si>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</si>
  <si>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</si>
  <si>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</si>
  <si>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</si>
  <si>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</si>
  <si>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</si>
  <si>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</si>
  <si>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</si>
  <si>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</si>
  <si>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</si>
  <si>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</si>
  <si>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</si>
  <si>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</si>
  <si>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</si>
  <si>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</si>
  <si>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</si>
  <si>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</si>
  <si>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</si>
  <si>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</si>
  <si>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</si>
  <si>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</si>
  <si>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</si>
  <si>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</si>
  <si>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</si>
  <si>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</si>
  <si>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</si>
  <si>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</si>
  <si>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</si>
  <si>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</si>
  <si>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</si>
  <si>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</si>
  <si>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</si>
  <si>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</si>
  <si>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</si>
  <si>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</si>
  <si>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</si>
  <si>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</si>
  <si>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</si>
  <si>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</si>
  <si>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</si>
  <si>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</si>
  <si>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</si>
  <si>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</si>
  <si>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</si>
  <si>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</si>
  <si>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</si>
  <si>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</si>
  <si>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</si>
  <si>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</si>
  <si>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</si>
  <si>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</si>
  <si>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</si>
  <si>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</si>
  <si>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</si>
  <si>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</si>
  <si>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</si>
  <si>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</si>
  <si>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</si>
  <si>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</si>
  <si>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</si>
  <si>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</si>
  <si>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</si>
  <si>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</si>
  <si>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</si>
  <si>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</si>
  <si>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</si>
  <si>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</si>
  <si>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</si>
  <si>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</si>
  <si>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</si>
  <si>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</si>
  <si>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</si>
  <si>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</si>
  <si>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</si>
  <si>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</si>
  <si>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</si>
  <si>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</si>
  <si>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</si>
  <si>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</si>
  <si>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</si>
  <si>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</si>
  <si>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</si>
  <si>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</si>
  <si>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</si>
  <si>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</si>
  <si>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</si>
  <si>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</si>
  <si>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</si>
  <si>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</si>
  <si>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</si>
  <si>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</si>
  <si>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</si>
  <si>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</si>
  <si>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</si>
  <si>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</si>
  <si>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</si>
  <si>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</si>
  <si>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</si>
  <si>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</si>
  <si>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</si>
  <si>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</si>
  <si>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</si>
  <si>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</si>
  <si>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</si>
  <si>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</si>
  <si>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</si>
  <si>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</si>
  <si>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</si>
  <si>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</si>
  <si>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</si>
  <si>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</si>
  <si>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</si>
  <si>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</si>
  <si>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</si>
  <si>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</si>
  <si>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</si>
  <si>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</si>
  <si>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</si>
  <si>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</si>
  <si>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</si>
  <si>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</si>
  <si>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</si>
  <si>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</si>
  <si>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</si>
  <si>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</si>
  <si>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</si>
  <si>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</si>
  <si>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</si>
  <si>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</si>
  <si>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</si>
  <si>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</si>
  <si>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</si>
  <si>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</si>
  <si>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</si>
  <si>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</si>
  <si>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</si>
  <si>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</si>
  <si>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</si>
  <si>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</si>
  <si>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</si>
  <si>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</si>
  <si>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</si>
  <si>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</si>
  <si>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</si>
  <si>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</si>
  <si>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</si>
  <si>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</si>
  <si>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</si>
  <si>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</si>
  <si>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</si>
  <si>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</si>
  <si>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</si>
  <si>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</si>
  <si>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</si>
  <si>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</si>
  <si>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</si>
  <si>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</si>
  <si>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</si>
  <si>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</si>
  <si>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</si>
  <si>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</si>
  <si>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</si>
  <si>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</si>
  <si>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</si>
  <si>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</si>
  <si>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</si>
  <si>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</si>
  <si>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</si>
  <si>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</si>
  <si>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</si>
  <si>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</si>
  <si>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</si>
  <si>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</si>
  <si>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</si>
  <si>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</si>
  <si>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</si>
  <si>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</si>
  <si>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</si>
  <si>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</si>
  <si>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</si>
  <si>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</si>
  <si>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</si>
  <si>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</si>
  <si>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</si>
  <si>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</si>
  <si>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</si>
  <si>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</si>
  <si>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</si>
  <si>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</si>
  <si>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</si>
  <si>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</si>
  <si>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</si>
  <si>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</si>
  <si>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</si>
  <si>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</si>
  <si>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</si>
  <si>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</si>
  <si>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</si>
  <si>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</si>
  <si>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</si>
  <si>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</si>
  <si>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</si>
  <si>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</si>
  <si>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</si>
  <si>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</si>
  <si>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</si>
  <si>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</si>
  <si>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</si>
  <si>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</si>
  <si>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</si>
  <si>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</si>
  <si>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</si>
  <si>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</si>
  <si>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</si>
  <si>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</si>
  <si>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</si>
  <si>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</si>
  <si>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</si>
  <si>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</si>
  <si>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</si>
  <si>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</si>
  <si>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</si>
  <si>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</si>
  <si>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</si>
  <si>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</si>
  <si>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</si>
  <si>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</si>
  <si>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</si>
  <si>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</si>
  <si>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</si>
  <si>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</si>
  <si>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</si>
  <si>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</si>
  <si>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</si>
  <si>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</si>
  <si>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</si>
  <si>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</si>
  <si>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</si>
  <si>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</si>
  <si>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</si>
  <si>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</si>
  <si>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</si>
  <si>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</si>
  <si>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</si>
  <si>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</si>
  <si>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</si>
  <si>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</si>
  <si>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</si>
  <si>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</si>
  <si>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</si>
  <si>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</si>
  <si>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</si>
  <si>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</si>
  <si>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</si>
  <si>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</si>
  <si>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</si>
  <si>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</si>
  <si>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</si>
  <si>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</si>
  <si>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</si>
  <si>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</si>
  <si>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</si>
  <si>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</si>
  <si>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</si>
  <si>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</si>
  <si>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</si>
  <si>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</si>
  <si>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</si>
  <si>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</si>
  <si>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</si>
  <si>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</si>
  <si>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</si>
  <si>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</si>
  <si>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</si>
  <si>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</si>
  <si>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</si>
  <si>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</si>
  <si>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</si>
  <si>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</si>
  <si>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</si>
  <si>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</si>
  <si>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</si>
  <si>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</si>
  <si>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</si>
  <si>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</si>
  <si>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</si>
  <si>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</si>
  <si>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</si>
  <si>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</si>
  <si>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</si>
  <si>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</si>
  <si>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</si>
  <si>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</si>
  <si>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</si>
  <si>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</si>
  <si>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</si>
  <si>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</si>
  <si>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</si>
  <si>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</si>
  <si>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</si>
  <si>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</si>
  <si>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</si>
  <si>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</si>
  <si>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</si>
  <si>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</si>
  <si>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</si>
  <si>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</si>
  <si>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</si>
  <si>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</si>
  <si>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</si>
  <si>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</si>
  <si>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</si>
  <si>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</si>
  <si>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</si>
  <si>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</si>
  <si>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</si>
  <si>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</si>
  <si>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</si>
  <si>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</si>
  <si>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</si>
  <si>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</si>
  <si>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</si>
  <si>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</si>
  <si>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</si>
  <si>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</si>
  <si>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</si>
  <si>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</si>
  <si>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</si>
  <si>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</si>
  <si>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</si>
  <si>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</si>
  <si>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</si>
  <si>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</si>
  <si>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</si>
  <si>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</si>
  <si>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</si>
  <si>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</si>
  <si>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</si>
  <si>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</si>
  <si>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</si>
  <si>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</si>
  <si>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</si>
  <si>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</si>
  <si>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</si>
  <si>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</si>
  <si>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</si>
  <si>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</si>
  <si>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</si>
  <si>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</si>
  <si>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</si>
  <si>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</si>
  <si>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</si>
  <si>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</si>
  <si>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</si>
  <si>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</si>
  <si>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</si>
  <si>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</si>
  <si>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</si>
  <si>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</si>
  <si>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</si>
  <si>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</si>
  <si>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</si>
  <si>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</si>
  <si>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</si>
  <si>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</si>
  <si>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</si>
  <si>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</si>
  <si>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</si>
  <si>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</si>
  <si>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</si>
  <si>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</si>
  <si>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</si>
  <si>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</si>
  <si>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</si>
  <si>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</si>
  <si>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</si>
  <si>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</si>
  <si>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</si>
  <si>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</si>
  <si>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</si>
  <si>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</si>
  <si>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</si>
  <si>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</si>
  <si>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</si>
  <si>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</si>
  <si>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</si>
  <si>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</si>
  <si>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</si>
  <si>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</si>
  <si>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</si>
  <si>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</si>
  <si>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</si>
  <si>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</si>
  <si>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</si>
  <si>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</si>
  <si>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</si>
  <si>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</si>
  <si>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</si>
  <si>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</si>
  <si>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</si>
  <si>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</si>
  <si>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</si>
  <si>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</si>
  <si>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</si>
  <si>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</si>
  <si>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</si>
  <si>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</si>
  <si>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</si>
  <si>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</si>
  <si>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</si>
  <si>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</si>
  <si>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</si>
  <si>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</si>
  <si>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</si>
  <si>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</si>
  <si>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</si>
  <si>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</si>
  <si>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</si>
  <si>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</si>
  <si>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</si>
  <si>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</si>
  <si>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</si>
  <si>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</si>
  <si>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</si>
  <si>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</si>
  <si>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</si>
  <si>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</si>
  <si>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</si>
  <si>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</si>
  <si>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</si>
  <si>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</si>
  <si>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</si>
  <si>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</si>
  <si>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</si>
  <si>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</si>
  <si>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</si>
  <si>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</si>
  <si>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</si>
  <si>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</si>
  <si>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</si>
  <si>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</si>
  <si>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</si>
  <si>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</si>
  <si>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</si>
  <si>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</si>
  <si>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</si>
  <si>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</si>
  <si>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</si>
  <si>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</si>
  <si>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</si>
  <si>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</si>
  <si>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</si>
  <si>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</si>
  <si>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</si>
  <si>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</si>
  <si>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</si>
  <si>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</si>
  <si>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</si>
  <si>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</si>
  <si>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</si>
  <si>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</si>
  <si>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</si>
  <si>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</si>
  <si>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</si>
  <si>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</si>
  <si>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</si>
  <si>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</si>
  <si>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</si>
  <si>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</si>
  <si>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</si>
  <si>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</si>
  <si>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</si>
  <si>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</si>
  <si>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</si>
  <si>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</si>
  <si>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</si>
  <si>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</si>
  <si>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</si>
  <si>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</si>
  <si>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</si>
  <si>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</si>
  <si>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</si>
  <si>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</si>
  <si>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</si>
  <si>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</si>
  <si>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</si>
  <si>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</si>
  <si>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</si>
  <si>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</si>
  <si>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</si>
  <si>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</si>
  <si>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</si>
  <si>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</si>
  <si>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</si>
  <si>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</si>
  <si>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</si>
  <si>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</si>
  <si>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</si>
  <si>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</si>
  <si>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</si>
  <si>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</si>
  <si>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</si>
  <si>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</si>
  <si>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</si>
  <si>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</si>
  <si>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</si>
  <si>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</si>
  <si>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</si>
  <si>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</si>
  <si>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</si>
  <si>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</si>
  <si>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</si>
  <si>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</si>
  <si>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</si>
  <si>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</si>
  <si>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</si>
  <si>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</si>
  <si>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</si>
  <si>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</si>
  <si>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</si>
  <si>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</si>
  <si>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</si>
  <si>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</si>
  <si>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</si>
  <si>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</si>
  <si>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</si>
  <si>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</si>
  <si>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</si>
  <si>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</si>
  <si>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</si>
  <si>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</si>
  <si>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</si>
  <si>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</si>
  <si>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</si>
  <si>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</si>
  <si>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</si>
  <si>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</si>
  <si>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</si>
  <si>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</si>
  <si>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</si>
  <si>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</si>
  <si>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</si>
  <si>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</si>
  <si>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</si>
  <si>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</si>
  <si>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</si>
  <si>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</si>
  <si>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</si>
  <si>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</si>
  <si>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</si>
  <si>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</si>
  <si>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</si>
  <si>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</si>
  <si>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</si>
  <si>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</si>
  <si>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</si>
  <si>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</si>
  <si>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</si>
  <si>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</si>
  <si>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</si>
  <si>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</si>
  <si>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</si>
  <si>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</si>
  <si>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</si>
  <si>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</si>
  <si>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</si>
  <si>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</si>
  <si>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</si>
  <si>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</si>
  <si>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</si>
  <si>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</si>
  <si>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</si>
  <si>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</si>
  <si>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</si>
  <si>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</si>
  <si>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</si>
  <si>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</si>
  <si>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</si>
  <si>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</si>
  <si>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</si>
  <si>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</si>
  <si>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</si>
  <si>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</si>
  <si>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</si>
  <si>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</si>
  <si>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</si>
  <si>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</si>
  <si>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</si>
  <si>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</si>
  <si>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</si>
  <si>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</si>
  <si>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</si>
  <si>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</si>
  <si>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</si>
  <si>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</si>
  <si>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</si>
  <si>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</si>
  <si>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</si>
  <si>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</si>
  <si>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</si>
  <si>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</si>
  <si>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</si>
  <si>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</si>
  <si>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</si>
  <si>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</si>
  <si>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</si>
  <si>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</si>
  <si>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</si>
  <si>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</si>
  <si>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</si>
  <si>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</si>
  <si>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</si>
  <si>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</si>
  <si>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</si>
  <si>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</si>
  <si>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</si>
  <si>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</si>
  <si>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</si>
  <si>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</si>
  <si>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</si>
  <si>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</si>
  <si>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</si>
  <si>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</si>
  <si>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</si>
  <si>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</si>
  <si>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</si>
  <si>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</si>
  <si>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</si>
  <si>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</si>
  <si>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</si>
  <si>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</si>
  <si>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</si>
  <si>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</si>
  <si>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</si>
  <si>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</si>
  <si>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</si>
  <si>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</si>
  <si>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</si>
  <si>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</si>
  <si>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</si>
  <si>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</si>
  <si>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</si>
  <si>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</si>
  <si>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</si>
  <si>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</si>
  <si>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</si>
  <si>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</si>
  <si>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</si>
  <si>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</si>
  <si>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</si>
  <si>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</si>
  <si>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</si>
  <si>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</si>
  <si>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</si>
  <si>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</si>
  <si>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</si>
  <si>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</si>
  <si>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</si>
  <si>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</si>
  <si>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</si>
  <si>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</si>
  <si>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</si>
  <si>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</si>
  <si>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</si>
  <si>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</si>
  <si>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</si>
  <si>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</si>
  <si>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</si>
  <si>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</si>
  <si>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</si>
  <si>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</si>
  <si>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</si>
  <si>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</si>
  <si>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</si>
  <si>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</si>
  <si>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</si>
  <si>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</si>
  <si>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</si>
  <si>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</si>
  <si>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</si>
  <si>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</si>
  <si>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</si>
  <si>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</si>
  <si>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</si>
  <si>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</si>
  <si>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</si>
  <si>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</si>
  <si>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</si>
  <si>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</si>
  <si>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</si>
  <si>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</si>
  <si>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</si>
  <si>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</si>
  <si>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</si>
  <si>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</si>
  <si>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</si>
  <si>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</si>
  <si>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</si>
  <si>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</si>
  <si>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</si>
  <si>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</si>
  <si>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</si>
  <si>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</si>
  <si>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</si>
  <si>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</si>
  <si>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</si>
  <si>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</si>
  <si>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</si>
  <si>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</si>
  <si>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</si>
  <si>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</si>
  <si>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</si>
  <si>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</si>
  <si>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</si>
  <si>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</si>
  <si>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</si>
  <si>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</si>
  <si>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</si>
  <si>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</si>
  <si>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</si>
  <si>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</si>
  <si>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</si>
  <si>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</si>
  <si>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</si>
  <si>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</si>
  <si>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</si>
  <si>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</si>
  <si>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</si>
  <si>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</si>
  <si>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</si>
  <si>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</si>
  <si>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</si>
  <si>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</si>
  <si>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</si>
  <si>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</si>
  <si>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</si>
  <si>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</si>
  <si>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</si>
  <si>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</si>
  <si>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</si>
  <si>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</si>
  <si>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</si>
  <si>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</si>
  <si>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</si>
  <si>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</si>
  <si>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</si>
  <si>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</si>
  <si>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</si>
  <si>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</si>
  <si>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</si>
  <si>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</si>
  <si>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</si>
  <si>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</si>
  <si>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</si>
  <si>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</si>
  <si>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</si>
  <si>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</si>
  <si>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</si>
  <si>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</si>
  <si>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</si>
  <si>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</si>
  <si>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</si>
  <si>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</si>
  <si>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</si>
  <si>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</si>
  <si>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  <charset val="204"/>
      </rPr>
      <t>; Район </t>
    </r>
    <r>
      <rPr>
        <sz val="11"/>
        <color theme="1"/>
        <rFont val="Calibri"/>
        <family val="2"/>
        <scheme val="minor"/>
      </rPr>
      <t>р-н Лозенец</t>
    </r>
    <r>
      <rPr>
        <sz val="9"/>
        <color indexed="63"/>
        <rFont val="Verdana"/>
        <family val="2"/>
        <charset val="204"/>
      </rPr>
      <t>; </t>
    </r>
    <r>
      <rPr>
        <sz val="11"/>
        <color theme="1"/>
        <rFont val="Calibri"/>
        <family val="2"/>
        <scheme val="minor"/>
      </rPr>
      <t>бул. "Джейм Баучер"</t>
    </r>
    <r>
      <rPr>
        <sz val="9"/>
        <color indexed="63"/>
        <rFont val="Verdana"/>
        <family val="2"/>
        <charset val="204"/>
      </rPr>
      <t>  51; Ет. 4; Ап. 407</t>
    </r>
  </si>
  <si>
    <t>dvi@holdingnovvek.com</t>
  </si>
  <si>
    <t>http://www.holdingnovvek.com/</t>
  </si>
  <si>
    <t>http://www.infostock.bg/</t>
  </si>
  <si>
    <t>счетоводител</t>
  </si>
  <si>
    <t>1. БУЛИЪН ЕАД</t>
  </si>
  <si>
    <t>1. АВС ФИНАНС АД</t>
  </si>
  <si>
    <t>2. ПОЛИХАРТ АД</t>
  </si>
  <si>
    <t>3. НИК АД</t>
  </si>
  <si>
    <t xml:space="preserve">2. </t>
  </si>
  <si>
    <t>029234716</t>
  </si>
  <si>
    <t>4. ХОЛДИНГ НОВ ВЕК АД</t>
  </si>
  <si>
    <t>5. Други</t>
  </si>
  <si>
    <t>2. ЛОГИСТИЧЕН ПАРК БУРГАС ЕООД</t>
  </si>
  <si>
    <t>Васил Деков</t>
  </si>
  <si>
    <t>3. ЛОВИКО СУХИНДОЛ ЕАД</t>
  </si>
  <si>
    <t>4. БЪЛГЕРИАН ГРЕЙН ЕООД</t>
  </si>
  <si>
    <t>5.  БИО ХРИСТ ЕООД</t>
  </si>
  <si>
    <t>МИХАИЛ МИХАЙЛОВ</t>
  </si>
  <si>
    <t>ИЗПЪЛНИТЕЛЕН ДИРЕКТОР</t>
  </si>
  <si>
    <t>6. ЛОВИКО ЛОЗАРИ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</si>
</sst>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2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9"/>
      <color indexed="63"/>
      <name val="Verdana"/>
      <family val="2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7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6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5" fillId="0" borderId="35" xfId="15" applyNumberFormat="1" applyFont="1" applyFill="1" applyBorder="1" applyAlignment="1" applyProtection="1">
      <alignment horizontal="centerContinuous"/>
    </xf>
    <xf numFmtId="0" fontId="36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5" fillId="0" borderId="35" xfId="15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0" fillId="0" borderId="0" xfId="0" applyProtection="1">
      <protection locked="0"/>
    </xf>
    <xf numFmtId="49" fontId="24" fillId="3" borderId="37" xfId="3" applyNumberFormat="1" applyFont="1" applyFill="1" applyBorder="1" applyAlignment="1" applyProtection="1">
      <protection locked="0"/>
    </xf>
    <xf numFmtId="49" fontId="24" fillId="3" borderId="2" xfId="3" applyNumberFormat="1" applyFont="1" applyFill="1" applyBorder="1" applyAlignment="1" applyProtection="1">
      <protection locked="0"/>
    </xf>
    <xf numFmtId="49" fontId="24" fillId="3" borderId="5" xfId="3" applyNumberFormat="1" applyFont="1" applyFill="1" applyBorder="1" applyAlignment="1" applyProtection="1">
      <protection locked="0"/>
    </xf>
    <xf numFmtId="1" fontId="39" fillId="3" borderId="5" xfId="9" applyNumberFormat="1" applyFont="1" applyFill="1" applyBorder="1" applyAlignment="1" applyProtection="1">
      <alignment vertical="center" wrapText="1"/>
      <protection locked="0"/>
    </xf>
    <xf numFmtId="1" fontId="40" fillId="3" borderId="5" xfId="9" applyNumberFormat="1" applyFont="1" applyFill="1" applyBorder="1" applyAlignment="1" applyProtection="1">
      <alignment vertical="center" wrapText="1"/>
      <protection locked="0"/>
    </xf>
    <xf numFmtId="0" fontId="3" fillId="3" borderId="5" xfId="8" applyFont="1" applyFill="1" applyBorder="1" applyAlignment="1" applyProtection="1">
      <alignment horizontal="left" vertical="center" wrapText="1"/>
      <protection locked="0"/>
    </xf>
    <xf numFmtId="49" fontId="3" fillId="3" borderId="5" xfId="8" applyNumberFormat="1" applyFont="1" applyFill="1" applyBorder="1" applyAlignment="1" applyProtection="1">
      <alignment horizontal="center" vertical="center" wrapText="1"/>
      <protection locked="0"/>
    </xf>
    <xf numFmtId="1" fontId="41" fillId="3" borderId="5" xfId="8" applyNumberFormat="1" applyFont="1" applyFill="1" applyBorder="1" applyAlignment="1" applyProtection="1">
      <alignment horizontal="right" vertical="center" wrapText="1"/>
      <protection locked="0"/>
    </xf>
    <xf numFmtId="2" fontId="41" fillId="3" borderId="5" xfId="8" applyNumberFormat="1" applyFont="1" applyFill="1" applyBorder="1" applyAlignment="1" applyProtection="1">
      <alignment horizontal="right" vertical="center" wrapText="1"/>
      <protection locked="0"/>
    </xf>
    <xf numFmtId="3" fontId="3" fillId="12" borderId="46" xfId="0" applyNumberFormat="1" applyFont="1" applyFill="1" applyBorder="1" applyAlignment="1" applyProtection="1">
      <alignment vertical="center"/>
      <protection locked="0"/>
    </xf>
    <xf numFmtId="3" fontId="3" fillId="12" borderId="46" xfId="0" applyNumberFormat="1" applyFont="1" applyFill="1" applyBorder="1" applyAlignment="1" applyProtection="1">
      <alignment vertical="top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="85" zoomScaleNormal="100" zoomScaleSheetLayoutView="85" workbookViewId="0">
      <selection activeCell="B12" sqref="B12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>
      <c r="A2" s="687" t="s">
        <v>964</v>
      </c>
      <c r="B2" s="682"/>
      <c r="Z2" s="696">
        <v>2</v>
      </c>
      <c r="AA2" s="697">
        <f>IF(ISBLANK(_pdeReportingDate),"",_pdeReportingDate)</f>
        <v>44032</v>
      </c>
    </row>
    <row r="3" spans="1:27">
      <c r="A3" s="683" t="s">
        <v>962</v>
      </c>
      <c r="B3" s="684"/>
      <c r="Z3" s="696">
        <v>3</v>
      </c>
      <c r="AA3" s="697" t="str">
        <f>IF(ISBLANK(_authorName),"",_authorName)</f>
        <v>Васил Деков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43830</v>
      </c>
    </row>
    <row r="11" spans="1:27">
      <c r="A11" s="7" t="s">
        <v>977</v>
      </c>
      <c r="B11" s="578">
        <v>44032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976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1010</v>
      </c>
    </row>
    <row r="18" spans="1:2">
      <c r="A18" s="7" t="s">
        <v>919</v>
      </c>
      <c r="B18" s="577" t="s">
        <v>1011</v>
      </c>
    </row>
    <row r="19" spans="1:2" ht="31.5">
      <c r="A19" s="7" t="s">
        <v>4</v>
      </c>
      <c r="B19" s="577" t="s">
        <v>991</v>
      </c>
    </row>
    <row r="20" spans="1:2">
      <c r="A20" s="7" t="s">
        <v>5</v>
      </c>
      <c r="B20" s="698" t="s">
        <v>992</v>
      </c>
    </row>
    <row r="21" spans="1:2">
      <c r="A21" s="10" t="s">
        <v>6</v>
      </c>
      <c r="B21" s="579" t="s">
        <v>1002</v>
      </c>
    </row>
    <row r="22" spans="1:2">
      <c r="A22" s="10" t="s">
        <v>917</v>
      </c>
      <c r="B22" s="579" t="s">
        <v>1002</v>
      </c>
    </row>
    <row r="23" spans="1:2">
      <c r="A23" s="10" t="s">
        <v>7</v>
      </c>
      <c r="B23" s="699" t="s">
        <v>993</v>
      </c>
    </row>
    <row r="24" spans="1:2">
      <c r="A24" s="10" t="s">
        <v>918</v>
      </c>
      <c r="B24" s="700" t="s">
        <v>994</v>
      </c>
    </row>
    <row r="25" spans="1:2">
      <c r="A25" s="7" t="s">
        <v>921</v>
      </c>
      <c r="B25" s="701" t="s">
        <v>995</v>
      </c>
    </row>
    <row r="26" spans="1:2">
      <c r="A26" s="10" t="s">
        <v>970</v>
      </c>
      <c r="B26" s="579" t="s">
        <v>1006</v>
      </c>
    </row>
    <row r="27" spans="1:2">
      <c r="A27" s="10" t="s">
        <v>971</v>
      </c>
      <c r="B27" s="579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108338</v>
      </c>
      <c r="D6" s="675">
        <f t="shared" ref="D6:D15" si="0">C6-E6</f>
        <v>0</v>
      </c>
      <c r="E6" s="674">
        <f>'1-Баланс'!G95</f>
        <v>108338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56920</v>
      </c>
      <c r="D7" s="675">
        <f t="shared" si="0"/>
        <v>51310</v>
      </c>
      <c r="E7" s="674">
        <f>'1-Баланс'!G18</f>
        <v>5610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2590</v>
      </c>
      <c r="D8" s="675">
        <f t="shared" si="0"/>
        <v>0</v>
      </c>
      <c r="E8" s="674">
        <f>ABS('2-Отчет за доходите'!C44)-ABS('2-Отчет за доходите'!G44)</f>
        <v>2590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274</v>
      </c>
      <c r="D10" s="675">
        <f t="shared" si="0"/>
        <v>0</v>
      </c>
      <c r="E10" s="674">
        <f>'3-Отчет за паричния поток'!C46</f>
        <v>274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56920</v>
      </c>
      <c r="D11" s="675">
        <f t="shared" si="0"/>
        <v>0</v>
      </c>
      <c r="E11" s="674">
        <f>'4-Отчет за собствения капитал'!L34</f>
        <v>56920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58994</v>
      </c>
      <c r="D12" s="675">
        <f t="shared" si="0"/>
        <v>0</v>
      </c>
      <c r="E12" s="674">
        <f>'Справка 5'!C27+'Справка 5'!C97</f>
        <v>58994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663</v>
      </c>
      <c r="D15" s="675">
        <f t="shared" si="0"/>
        <v>-5318</v>
      </c>
      <c r="E15" s="674">
        <f>'Справка 5'!C148+'Справка 5'!C78</f>
        <v>5981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4.7005444646098002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4.5502459592410401E-2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5.0371465245633823E-2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2.3906662482231535E-2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1.752141475545731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1.7196185286103542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1.7196185286103542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0.38092643051771119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1.8664850136239784E-2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2.3509834876477363E-2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5.0859347597334266E-3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0.39225693480535567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0.90333801827125793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0.47460724768779194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4657</v>
      </c>
      <c r="E21" s="695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8.1816584680252991E-2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0.73978867686484784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10.960989128117673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ХОЛДИНГ НОВ ВЕК АД</v>
      </c>
      <c r="B3" s="105" t="str">
        <f t="shared" ref="B3:B34" si="1">pdeBulstat</f>
        <v>121643011</v>
      </c>
      <c r="C3" s="581">
        <f t="shared" ref="C3:C34" si="2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262</v>
      </c>
    </row>
    <row r="11" spans="1:14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262</v>
      </c>
    </row>
    <row r="12" spans="1:14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23027</v>
      </c>
    </row>
    <row r="13" spans="1:14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148</v>
      </c>
    </row>
    <row r="18" spans="1:8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148</v>
      </c>
    </row>
    <row r="19" spans="1:8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59657</v>
      </c>
    </row>
    <row r="23" spans="1:8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58994</v>
      </c>
    </row>
    <row r="24" spans="1:8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663</v>
      </c>
    </row>
    <row r="27" spans="1:8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59657</v>
      </c>
    </row>
    <row r="34" spans="1:8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ХОЛДИНГ НОВ ВЕК АД</v>
      </c>
      <c r="B35" s="105" t="str">
        <f t="shared" ref="B35:B66" si="4">pdeBulstat</f>
        <v>121643011</v>
      </c>
      <c r="C35" s="581">
        <f t="shared" ref="C35:C66" si="5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83094</v>
      </c>
    </row>
    <row r="42" spans="1:8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15007</v>
      </c>
    </row>
    <row r="50" spans="1:8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4635</v>
      </c>
    </row>
    <row r="51" spans="1:8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10</v>
      </c>
    </row>
    <row r="52" spans="1:8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19652</v>
      </c>
    </row>
    <row r="58" spans="1:8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5318</v>
      </c>
    </row>
    <row r="63" spans="1:8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5318</v>
      </c>
    </row>
    <row r="65" spans="1:8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</v>
      </c>
    </row>
    <row r="66" spans="1:8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271</v>
      </c>
    </row>
    <row r="67" spans="1:8">
      <c r="A67" s="105" t="str">
        <f t="shared" ref="A67:A98" si="6">pdeName</f>
        <v>ХОЛДИНГ НОВ ВЕК АД</v>
      </c>
      <c r="B67" s="105" t="str">
        <f t="shared" ref="B67:B98" si="7">pdeBulstat</f>
        <v>121643011</v>
      </c>
      <c r="C67" s="581">
        <f t="shared" ref="C67:C98" si="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274</v>
      </c>
    </row>
    <row r="70" spans="1:8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25244</v>
      </c>
    </row>
    <row r="72" spans="1:8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108338</v>
      </c>
    </row>
    <row r="73" spans="1:8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5610</v>
      </c>
    </row>
    <row r="74" spans="1:8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5610</v>
      </c>
    </row>
    <row r="75" spans="1:8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5610</v>
      </c>
    </row>
    <row r="80" spans="1:8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30375</v>
      </c>
    </row>
    <row r="81" spans="1:8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2009</v>
      </c>
    </row>
    <row r="82" spans="1:8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32384</v>
      </c>
    </row>
    <row r="87" spans="1:8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16336</v>
      </c>
    </row>
    <row r="88" spans="1:8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16336</v>
      </c>
    </row>
    <row r="89" spans="1:8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2590</v>
      </c>
    </row>
    <row r="92" spans="1:8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18926</v>
      </c>
    </row>
    <row r="94" spans="1:8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56920</v>
      </c>
    </row>
    <row r="95" spans="1:8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17344</v>
      </c>
    </row>
    <row r="97" spans="1:8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ХОЛДИНГ НОВ ВЕК АД</v>
      </c>
      <c r="B99" s="105" t="str">
        <f t="shared" ref="B99:B125" si="10">pdeBulstat</f>
        <v>121643011</v>
      </c>
      <c r="C99" s="581">
        <f t="shared" ref="C99:C125" si="11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17603</v>
      </c>
    </row>
    <row r="101" spans="1:8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34947</v>
      </c>
    </row>
    <row r="103" spans="1:8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128</v>
      </c>
    </row>
    <row r="104" spans="1:8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1663</v>
      </c>
    </row>
    <row r="106" spans="1:8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36738</v>
      </c>
    </row>
    <row r="108" spans="1:8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5965</v>
      </c>
    </row>
    <row r="110" spans="1:8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8676</v>
      </c>
    </row>
    <row r="111" spans="1:8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7936</v>
      </c>
    </row>
    <row r="112" spans="1:8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368</v>
      </c>
    </row>
    <row r="114" spans="1:8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366</v>
      </c>
    </row>
    <row r="118" spans="1:8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39</v>
      </c>
    </row>
    <row r="119" spans="1:8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14680</v>
      </c>
    </row>
    <row r="121" spans="1:8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14680</v>
      </c>
    </row>
    <row r="125" spans="1:8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108338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ХОЛДИНГ НОВ ВЕК АД</v>
      </c>
      <c r="B127" s="105" t="str">
        <f t="shared" ref="B127:B158" si="13">pdeBulstat</f>
        <v>121643011</v>
      </c>
      <c r="C127" s="581">
        <f t="shared" ref="C127:C158" si="14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728</v>
      </c>
    </row>
    <row r="129" spans="1:8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</v>
      </c>
    </row>
    <row r="130" spans="1:8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155</v>
      </c>
    </row>
    <row r="131" spans="1:8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648</v>
      </c>
    </row>
    <row r="135" spans="1:8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</v>
      </c>
    </row>
    <row r="136" spans="1:8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1585</v>
      </c>
    </row>
    <row r="138" spans="1:8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1935</v>
      </c>
    </row>
    <row r="139" spans="1:8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87</v>
      </c>
    </row>
    <row r="140" spans="1:8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2034</v>
      </c>
    </row>
    <row r="143" spans="1:8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3619</v>
      </c>
    </row>
    <row r="144" spans="1:8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2722</v>
      </c>
    </row>
    <row r="145" spans="1:8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3619</v>
      </c>
    </row>
    <row r="148" spans="1:8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2722</v>
      </c>
    </row>
    <row r="149" spans="1:8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132</v>
      </c>
    </row>
    <row r="150" spans="1:8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97</v>
      </c>
    </row>
    <row r="151" spans="1:8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35</v>
      </c>
    </row>
    <row r="152" spans="1:8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2590</v>
      </c>
    </row>
    <row r="154" spans="1:8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2590</v>
      </c>
    </row>
    <row r="156" spans="1:8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6341</v>
      </c>
    </row>
    <row r="157" spans="1:8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ХОЛДИНГ НОВ ВЕК АД</v>
      </c>
      <c r="B159" s="105" t="str">
        <f t="shared" ref="B159:B179" si="16">pdeBulstat</f>
        <v>121643011</v>
      </c>
      <c r="C159" s="581">
        <f t="shared" ref="C159:C179" si="17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549</v>
      </c>
    </row>
    <row r="161" spans="1:8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551</v>
      </c>
    </row>
    <row r="162" spans="1:8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</v>
      </c>
    </row>
    <row r="163" spans="1:8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119</v>
      </c>
    </row>
    <row r="165" spans="1:8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5657</v>
      </c>
    </row>
    <row r="167" spans="1:8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5776</v>
      </c>
    </row>
    <row r="170" spans="1:8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6341</v>
      </c>
    </row>
    <row r="171" spans="1:8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6341</v>
      </c>
    </row>
    <row r="175" spans="1:8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6341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ХОЛДИНГ НОВ ВЕК АД</v>
      </c>
      <c r="B181" s="105" t="str">
        <f t="shared" ref="B181:B216" si="19">pdeBulstat</f>
        <v>121643011</v>
      </c>
      <c r="C181" s="581">
        <f t="shared" ref="C181:C216" si="20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-618</v>
      </c>
    </row>
    <row r="183" spans="1:8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10645</v>
      </c>
    </row>
    <row r="184" spans="1:8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-183</v>
      </c>
    </row>
    <row r="185" spans="1:8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</v>
      </c>
    </row>
    <row r="186" spans="1:8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67</v>
      </c>
    </row>
    <row r="188" spans="1:8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-191</v>
      </c>
    </row>
    <row r="191" spans="1:8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9711</v>
      </c>
    </row>
    <row r="192" spans="1:8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519</v>
      </c>
    </row>
    <row r="194" spans="1:8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-6281</v>
      </c>
    </row>
    <row r="195" spans="1:8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-25439</v>
      </c>
    </row>
    <row r="198" spans="1:8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7288</v>
      </c>
    </row>
    <row r="199" spans="1:8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-23913</v>
      </c>
    </row>
    <row r="203" spans="1:8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20250</v>
      </c>
    </row>
    <row r="204" spans="1:8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4845</v>
      </c>
    </row>
    <row r="206" spans="1:8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-8579</v>
      </c>
    </row>
    <row r="207" spans="1:8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-2050</v>
      </c>
    </row>
    <row r="209" spans="1:8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14456</v>
      </c>
    </row>
    <row r="212" spans="1:8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254</v>
      </c>
    </row>
    <row r="213" spans="1:8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274</v>
      </c>
    </row>
    <row r="215" spans="1:8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274</v>
      </c>
    </row>
    <row r="216" spans="1:8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ХОЛДИНГ НОВ ВЕК АД</v>
      </c>
      <c r="B218" s="105" t="str">
        <f t="shared" ref="B218:B281" si="22">pdeBulstat</f>
        <v>121643011</v>
      </c>
      <c r="C218" s="581">
        <f t="shared" ref="C218:C281" si="23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4110</v>
      </c>
    </row>
    <row r="219" spans="1:8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4110</v>
      </c>
    </row>
    <row r="223" spans="1:8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1500</v>
      </c>
    </row>
    <row r="236" spans="1:8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5610</v>
      </c>
    </row>
    <row r="237" spans="1:8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5610</v>
      </c>
    </row>
    <row r="240" spans="1:8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11625</v>
      </c>
    </row>
    <row r="241" spans="1:8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11625</v>
      </c>
    </row>
    <row r="245" spans="1:8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18750</v>
      </c>
    </row>
    <row r="258" spans="1:8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30375</v>
      </c>
    </row>
    <row r="259" spans="1:8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30375</v>
      </c>
    </row>
    <row r="262" spans="1:8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1585</v>
      </c>
    </row>
    <row r="263" spans="1:8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1585</v>
      </c>
    </row>
    <row r="267" spans="1:8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424</v>
      </c>
    </row>
    <row r="276" spans="1:8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424</v>
      </c>
    </row>
    <row r="277" spans="1:8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2009</v>
      </c>
    </row>
    <row r="281" spans="1:8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ХОЛДИНГ НОВ ВЕК АД</v>
      </c>
      <c r="B282" s="105" t="str">
        <f t="shared" ref="B282:B345" si="25">pdeBulstat</f>
        <v>121643011</v>
      </c>
      <c r="C282" s="581">
        <f t="shared" ref="C282:C345" si="26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2009</v>
      </c>
    </row>
    <row r="284" spans="1:8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ХОЛДИНГ НОВ ВЕК АД</v>
      </c>
      <c r="B346" s="105" t="str">
        <f t="shared" ref="B346:B409" si="28">pdeBulstat</f>
        <v>121643011</v>
      </c>
      <c r="C346" s="581">
        <f t="shared" ref="C346:C409" si="2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16336</v>
      </c>
    </row>
    <row r="351" spans="1:8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16336</v>
      </c>
    </row>
    <row r="355" spans="1:8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2590</v>
      </c>
    </row>
    <row r="356" spans="1:8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18926</v>
      </c>
    </row>
    <row r="369" spans="1:8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18926</v>
      </c>
    </row>
    <row r="372" spans="1:8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ХОЛДИНГ НОВ ВЕК АД</v>
      </c>
      <c r="B410" s="105" t="str">
        <f t="shared" ref="B410:B459" si="31">pdeBulstat</f>
        <v>121643011</v>
      </c>
      <c r="C410" s="581">
        <f t="shared" ref="C410:C459" si="32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33656</v>
      </c>
    </row>
    <row r="417" spans="1:8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33656</v>
      </c>
    </row>
    <row r="421" spans="1:8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2590</v>
      </c>
    </row>
    <row r="422" spans="1:8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424</v>
      </c>
    </row>
    <row r="430" spans="1:8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424</v>
      </c>
    </row>
    <row r="431" spans="1:8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20250</v>
      </c>
    </row>
    <row r="434" spans="1:8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56920</v>
      </c>
    </row>
    <row r="435" spans="1:8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56920</v>
      </c>
    </row>
    <row r="438" spans="1:8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ХОЛДИНГ НОВ ВЕК АД</v>
      </c>
      <c r="B461" s="105" t="str">
        <f t="shared" ref="B461:B524" si="34">pdeBulstat</f>
        <v>121643011</v>
      </c>
      <c r="C461" s="581">
        <f t="shared" ref="C461:C524" si="35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22488</v>
      </c>
    </row>
    <row r="471" spans="1:8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75508</v>
      </c>
    </row>
    <row r="478" spans="1:8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75321</v>
      </c>
    </row>
    <row r="479" spans="1:8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187</v>
      </c>
    </row>
    <row r="482" spans="1:8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75508</v>
      </c>
    </row>
    <row r="489" spans="1:8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98339</v>
      </c>
    </row>
    <row r="491" spans="1:8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148</v>
      </c>
    </row>
    <row r="506" spans="1:8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148</v>
      </c>
    </row>
    <row r="507" spans="1:8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7650</v>
      </c>
    </row>
    <row r="508" spans="1:8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7470</v>
      </c>
    </row>
    <row r="509" spans="1:8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180</v>
      </c>
    </row>
    <row r="512" spans="1:8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7650</v>
      </c>
    </row>
    <row r="519" spans="1:8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7798</v>
      </c>
    </row>
    <row r="521" spans="1:8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ХОЛДИНГ НОВ ВЕК АД</v>
      </c>
      <c r="B525" s="105" t="str">
        <f t="shared" ref="B525:B588" si="37">pdeBulstat</f>
        <v>121643011</v>
      </c>
      <c r="C525" s="581">
        <f t="shared" ref="C525:C588" si="3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23797</v>
      </c>
    </row>
    <row r="538" spans="1:8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23797</v>
      </c>
    </row>
    <row r="539" spans="1:8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23797</v>
      </c>
    </row>
    <row r="549" spans="1:8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23797</v>
      </c>
    </row>
    <row r="551" spans="1:8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22488</v>
      </c>
    </row>
    <row r="561" spans="1:8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148</v>
      </c>
    </row>
    <row r="566" spans="1:8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148</v>
      </c>
    </row>
    <row r="567" spans="1:8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59361</v>
      </c>
    </row>
    <row r="568" spans="1:8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58994</v>
      </c>
    </row>
    <row r="569" spans="1:8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367</v>
      </c>
    </row>
    <row r="572" spans="1:8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59361</v>
      </c>
    </row>
    <row r="579" spans="1:8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82340</v>
      </c>
    </row>
    <row r="581" spans="1:8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ХОЛДИНГ НОВ ВЕК АД</v>
      </c>
      <c r="B589" s="105" t="str">
        <f t="shared" ref="B589:B652" si="40">pdeBulstat</f>
        <v>121643011</v>
      </c>
      <c r="C589" s="581">
        <f t="shared" ref="C589:C652" si="41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539</v>
      </c>
    </row>
    <row r="591" spans="1:8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296</v>
      </c>
    </row>
    <row r="598" spans="1:8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296</v>
      </c>
    </row>
    <row r="602" spans="1:8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296</v>
      </c>
    </row>
    <row r="609" spans="1:8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835</v>
      </c>
    </row>
    <row r="611" spans="1:8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23027</v>
      </c>
    </row>
    <row r="651" spans="1:8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ХОЛДИНГ НОВ ВЕК АД</v>
      </c>
      <c r="B653" s="105" t="str">
        <f t="shared" ref="B653:B716" si="43">pdeBulstat</f>
        <v>121643011</v>
      </c>
      <c r="C653" s="581">
        <f t="shared" ref="C653:C716" si="44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148</v>
      </c>
    </row>
    <row r="656" spans="1:8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148</v>
      </c>
    </row>
    <row r="657" spans="1:8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59657</v>
      </c>
    </row>
    <row r="658" spans="1:8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58994</v>
      </c>
    </row>
    <row r="659" spans="1:8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663</v>
      </c>
    </row>
    <row r="662" spans="1:8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59657</v>
      </c>
    </row>
    <row r="669" spans="1:8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83175</v>
      </c>
    </row>
    <row r="671" spans="1:8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58</v>
      </c>
    </row>
    <row r="679" spans="1:8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58</v>
      </c>
    </row>
    <row r="680" spans="1:8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58</v>
      </c>
    </row>
    <row r="701" spans="1:8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ХОЛДИНГ НОВ ВЕК АД</v>
      </c>
      <c r="B717" s="105" t="str">
        <f t="shared" ref="B717:B780" si="46">pdeBulstat</f>
        <v>121643011</v>
      </c>
      <c r="C717" s="581">
        <f t="shared" ref="C717:C780" si="47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23</v>
      </c>
    </row>
    <row r="731" spans="1:8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81</v>
      </c>
    </row>
    <row r="769" spans="1:8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81</v>
      </c>
    </row>
    <row r="770" spans="1:8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ХОЛДИНГ НОВ ВЕК АД</v>
      </c>
      <c r="B781" s="105" t="str">
        <f t="shared" ref="B781:B844" si="49">pdeBulstat</f>
        <v>121643011</v>
      </c>
      <c r="C781" s="581">
        <f t="shared" ref="C781:C844" si="50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81</v>
      </c>
    </row>
    <row r="791" spans="1:8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ХОЛДИНГ НОВ ВЕК АД</v>
      </c>
      <c r="B845" s="105" t="str">
        <f t="shared" ref="B845:B910" si="52">pdeBulstat</f>
        <v>121643011</v>
      </c>
      <c r="C845" s="581">
        <f t="shared" ref="C845:C910" si="53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81</v>
      </c>
    </row>
    <row r="859" spans="1:8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81</v>
      </c>
    </row>
    <row r="860" spans="1:8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81</v>
      </c>
    </row>
    <row r="881" spans="1:8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262</v>
      </c>
    </row>
    <row r="889" spans="1:8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262</v>
      </c>
    </row>
    <row r="890" spans="1:8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23027</v>
      </c>
    </row>
    <row r="891" spans="1:8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148</v>
      </c>
    </row>
    <row r="896" spans="1:8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148</v>
      </c>
    </row>
    <row r="897" spans="1:8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59657</v>
      </c>
    </row>
    <row r="898" spans="1:8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58994</v>
      </c>
    </row>
    <row r="899" spans="1:8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663</v>
      </c>
    </row>
    <row r="902" spans="1:8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59657</v>
      </c>
    </row>
    <row r="909" spans="1:8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83094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ХОЛДИНГ НОВ ВЕК АД</v>
      </c>
      <c r="B912" s="105" t="str">
        <f t="shared" ref="B912:B975" si="55">pdeBulstat</f>
        <v>121643011</v>
      </c>
      <c r="C912" s="581">
        <f t="shared" ref="C912:C975" si="56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15007</v>
      </c>
    </row>
    <row r="924" spans="1:8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5588</v>
      </c>
    </row>
    <row r="925" spans="1:8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9419</v>
      </c>
    </row>
    <row r="927" spans="1:8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4635</v>
      </c>
    </row>
    <row r="928" spans="1:8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19652</v>
      </c>
    </row>
    <row r="943" spans="1:8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19652</v>
      </c>
    </row>
    <row r="944" spans="1:8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15007</v>
      </c>
    </row>
    <row r="956" spans="1:8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5588</v>
      </c>
    </row>
    <row r="957" spans="1:8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9419</v>
      </c>
    </row>
    <row r="959" spans="1:8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4635</v>
      </c>
    </row>
    <row r="960" spans="1:8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19652</v>
      </c>
    </row>
    <row r="975" spans="1:8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19652</v>
      </c>
    </row>
    <row r="976" spans="1:8">
      <c r="A976" s="105" t="str">
        <f t="shared" ref="A976:A1039" si="57">pdeName</f>
        <v>ХОЛДИНГ НОВ ВЕК АД</v>
      </c>
      <c r="B976" s="105" t="str">
        <f t="shared" ref="B976:B1039" si="58">pdeBulstat</f>
        <v>121643011</v>
      </c>
      <c r="C976" s="581">
        <f t="shared" ref="C976:C1039" si="5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17344</v>
      </c>
    </row>
    <row r="1009" spans="1:8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17344</v>
      </c>
    </row>
    <row r="1010" spans="1:8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17603</v>
      </c>
    </row>
    <row r="1020" spans="1:8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128</v>
      </c>
    </row>
    <row r="1021" spans="1:8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35075</v>
      </c>
    </row>
    <row r="1023" spans="1:8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1663</v>
      </c>
    </row>
    <row r="1024" spans="1:8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7936</v>
      </c>
    </row>
    <row r="1025" spans="1:8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7936</v>
      </c>
    </row>
    <row r="1028" spans="1:8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5965</v>
      </c>
    </row>
    <row r="1034" spans="1:8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5965</v>
      </c>
    </row>
    <row r="1036" spans="1:8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740</v>
      </c>
    </row>
    <row r="1039" spans="1:8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ХОЛДИНГ НОВ ВЕК АД</v>
      </c>
      <c r="B1040" s="105" t="str">
        <f t="shared" ref="B1040:B1103" si="61">pdeBulstat</f>
        <v>121643011</v>
      </c>
      <c r="C1040" s="581">
        <f t="shared" ref="C1040:C1103" si="62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368</v>
      </c>
    </row>
    <row r="1041" spans="1:8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366</v>
      </c>
    </row>
    <row r="1044" spans="1:8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98</v>
      </c>
    </row>
    <row r="1045" spans="1:8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268</v>
      </c>
    </row>
    <row r="1047" spans="1:8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39</v>
      </c>
    </row>
    <row r="1049" spans="1:8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14680</v>
      </c>
    </row>
    <row r="1050" spans="1:8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51418</v>
      </c>
    </row>
    <row r="1051" spans="1:8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7936</v>
      </c>
    </row>
    <row r="1068" spans="1:8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7936</v>
      </c>
    </row>
    <row r="1071" spans="1:8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5965</v>
      </c>
    </row>
    <row r="1077" spans="1:8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5965</v>
      </c>
    </row>
    <row r="1079" spans="1:8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740</v>
      </c>
    </row>
    <row r="1082" spans="1:8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368</v>
      </c>
    </row>
    <row r="1084" spans="1:8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366</v>
      </c>
    </row>
    <row r="1087" spans="1:8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98</v>
      </c>
    </row>
    <row r="1088" spans="1:8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268</v>
      </c>
    </row>
    <row r="1090" spans="1:8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39</v>
      </c>
    </row>
    <row r="1092" spans="1:8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14680</v>
      </c>
    </row>
    <row r="1093" spans="1:8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14680</v>
      </c>
    </row>
    <row r="1094" spans="1:8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17344</v>
      </c>
    </row>
    <row r="1095" spans="1:8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17344</v>
      </c>
    </row>
    <row r="1096" spans="1:8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ХОЛДИНГ НОВ ВЕК АД</v>
      </c>
      <c r="B1104" s="105" t="str">
        <f t="shared" ref="B1104:B1167" si="64">pdeBulstat</f>
        <v>121643011</v>
      </c>
      <c r="C1104" s="581">
        <f t="shared" ref="C1104:C1167" si="65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17603</v>
      </c>
    </row>
    <row r="1106" spans="1:8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128</v>
      </c>
    </row>
    <row r="1107" spans="1:8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35075</v>
      </c>
    </row>
    <row r="1109" spans="1:8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1663</v>
      </c>
    </row>
    <row r="1110" spans="1:8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36738</v>
      </c>
    </row>
    <row r="1137" spans="1:8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ХОЛДИНГ НОВ ВЕК АД</v>
      </c>
      <c r="B1168" s="105" t="str">
        <f t="shared" ref="B1168:B1195" si="67">pdeBulstat</f>
        <v>121643011</v>
      </c>
      <c r="C1168" s="581">
        <f t="shared" ref="C1168:C1195" si="68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ХОЛДИНГ НОВ ВЕК АД</v>
      </c>
      <c r="B1197" s="105" t="str">
        <f t="shared" ref="B1197:B1228" si="70">pdeBulstat</f>
        <v>121643011</v>
      </c>
      <c r="C1197" s="581">
        <f t="shared" ref="C1197:C1228" si="71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11630822</v>
      </c>
    </row>
    <row r="1198" spans="1:8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1729908</v>
      </c>
    </row>
    <row r="1202" spans="1:8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13360730</v>
      </c>
    </row>
    <row r="1203" spans="1:8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37524</v>
      </c>
    </row>
    <row r="1204" spans="1:8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37524</v>
      </c>
    </row>
    <row r="1211" spans="1:8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ХОЛДИНГ НОВ ВЕК АД</v>
      </c>
      <c r="B1229" s="105" t="str">
        <f t="shared" ref="B1229:B1260" si="73">pdeBulstat</f>
        <v>121643011</v>
      </c>
      <c r="C1229" s="581">
        <f t="shared" ref="C1229:C1260" si="74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22512</v>
      </c>
    </row>
    <row r="1240" spans="1:8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36939</v>
      </c>
    </row>
    <row r="1244" spans="1:8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59451</v>
      </c>
    </row>
    <row r="1245" spans="1:8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5143</v>
      </c>
    </row>
    <row r="1246" spans="1:8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5143</v>
      </c>
    </row>
    <row r="1253" spans="1:8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206</v>
      </c>
    </row>
    <row r="1254" spans="1:8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206</v>
      </c>
    </row>
    <row r="1259" spans="1:8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175</v>
      </c>
    </row>
    <row r="1260" spans="1:8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ХОЛДИНГ НОВ ВЕК АД</v>
      </c>
      <c r="B1261" s="105" t="str">
        <f t="shared" ref="B1261:B1294" si="76">pdeBulstat</f>
        <v>121643011</v>
      </c>
      <c r="C1261" s="581">
        <f t="shared" ref="C1261:C1294" si="77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175</v>
      </c>
    </row>
    <row r="1267" spans="1:8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22718</v>
      </c>
    </row>
    <row r="1282" spans="1:8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36939</v>
      </c>
    </row>
    <row r="1286" spans="1:8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59657</v>
      </c>
    </row>
    <row r="1287" spans="1:8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5318</v>
      </c>
    </row>
    <row r="1288" spans="1:8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5318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ХОЛДИНГ НОВ ВЕК АД</v>
      </c>
      <c r="B1296" s="105" t="str">
        <f t="shared" ref="B1296:B1335" si="79">pdeBulstat</f>
        <v>121643011</v>
      </c>
      <c r="C1296" s="581">
        <f t="shared" ref="C1296:C1335" si="80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58994</v>
      </c>
    </row>
    <row r="1297" spans="1:8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5981</v>
      </c>
    </row>
    <row r="1300" spans="1:8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64975</v>
      </c>
    </row>
    <row r="1301" spans="1:8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58994</v>
      </c>
    </row>
    <row r="1327" spans="1:8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5981</v>
      </c>
    </row>
    <row r="1330" spans="1:8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64975</v>
      </c>
    </row>
    <row r="1331" spans="1:8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zoomScale="80" zoomScaleNormal="85" zoomScaleSheetLayoutView="80" workbookViewId="0">
      <selection activeCell="E83" sqref="E8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121643011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5610</v>
      </c>
      <c r="H12" s="196">
        <v>4110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5610</v>
      </c>
      <c r="H13" s="196">
        <v>4110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5610</v>
      </c>
      <c r="H18" s="610">
        <f>H12+H15+H16+H17</f>
        <v>4110</v>
      </c>
    </row>
    <row r="19" spans="1:13">
      <c r="A19" s="89" t="s">
        <v>49</v>
      </c>
      <c r="B19" s="91" t="s">
        <v>50</v>
      </c>
      <c r="C19" s="197">
        <v>262</v>
      </c>
      <c r="D19" s="197">
        <v>285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262</v>
      </c>
      <c r="D20" s="598">
        <f>SUM(D12:D19)</f>
        <v>285</v>
      </c>
      <c r="E20" s="89" t="s">
        <v>54</v>
      </c>
      <c r="F20" s="93" t="s">
        <v>55</v>
      </c>
      <c r="G20" s="197">
        <v>30375</v>
      </c>
      <c r="H20" s="196">
        <v>11625</v>
      </c>
    </row>
    <row r="21" spans="1:13">
      <c r="A21" s="100" t="s">
        <v>56</v>
      </c>
      <c r="B21" s="96" t="s">
        <v>57</v>
      </c>
      <c r="C21" s="476">
        <v>23027</v>
      </c>
      <c r="D21" s="477">
        <v>22488</v>
      </c>
      <c r="E21" s="89" t="s">
        <v>58</v>
      </c>
      <c r="F21" s="93" t="s">
        <v>59</v>
      </c>
      <c r="G21" s="197">
        <v>2009</v>
      </c>
      <c r="H21" s="196">
        <v>1585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32384</v>
      </c>
      <c r="H26" s="598">
        <f>H20+H21+H22</f>
        <v>13210</v>
      </c>
      <c r="M26" s="98"/>
    </row>
    <row r="27" spans="1:13">
      <c r="A27" s="89" t="s">
        <v>79</v>
      </c>
      <c r="B27" s="91" t="s">
        <v>80</v>
      </c>
      <c r="C27" s="197">
        <v>148</v>
      </c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148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16336</v>
      </c>
      <c r="H28" s="596">
        <f>SUM(H29:H31)</f>
        <v>15362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16336</v>
      </c>
      <c r="H29" s="196">
        <v>15362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2590</v>
      </c>
      <c r="H32" s="196">
        <v>974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18926</v>
      </c>
      <c r="H34" s="598">
        <f>H28+H32+H33</f>
        <v>16336</v>
      </c>
    </row>
    <row r="35" spans="1:13">
      <c r="A35" s="89" t="s">
        <v>106</v>
      </c>
      <c r="B35" s="94" t="s">
        <v>107</v>
      </c>
      <c r="C35" s="595">
        <f>SUM(C36:C39)</f>
        <v>59657</v>
      </c>
      <c r="D35" s="596">
        <f>SUM(D36:D39)</f>
        <v>75508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58994</v>
      </c>
      <c r="D36" s="196">
        <v>75321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56920</v>
      </c>
      <c r="H37" s="600">
        <f>H26+H18+H34</f>
        <v>33656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>
        <v>663</v>
      </c>
      <c r="D39" s="196">
        <v>187</v>
      </c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17344</v>
      </c>
      <c r="H44" s="196">
        <v>15003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8821</v>
      </c>
    </row>
    <row r="46" spans="1:13">
      <c r="A46" s="473" t="s">
        <v>137</v>
      </c>
      <c r="B46" s="96" t="s">
        <v>138</v>
      </c>
      <c r="C46" s="597">
        <f>C35+C40+C45</f>
        <v>59657</v>
      </c>
      <c r="D46" s="598">
        <f>D35+D40+D45</f>
        <v>75508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17603</v>
      </c>
      <c r="H48" s="196">
        <v>23469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7120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34947</v>
      </c>
      <c r="H50" s="596">
        <f>SUM(H44:H49)</f>
        <v>54413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128</v>
      </c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1663</v>
      </c>
      <c r="H54" s="196">
        <v>1581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83094</v>
      </c>
      <c r="D56" s="602">
        <f>D20+D21+D22+D28+D33+D46+D52+D54+D55</f>
        <v>98281</v>
      </c>
      <c r="E56" s="100" t="s">
        <v>850</v>
      </c>
      <c r="F56" s="99" t="s">
        <v>172</v>
      </c>
      <c r="G56" s="599">
        <f>G50+G52+G53+G54+G55</f>
        <v>36738</v>
      </c>
      <c r="H56" s="600">
        <f>H50+H52+H53+H54+H55</f>
        <v>55994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5965</v>
      </c>
      <c r="H60" s="196">
        <v>8923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8676</v>
      </c>
      <c r="H61" s="596">
        <f>SUM(H62:H68)</f>
        <v>11324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7936</v>
      </c>
      <c r="H62" s="196">
        <v>10900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368</v>
      </c>
      <c r="H64" s="196">
        <v>411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10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13">
      <c r="A68" s="89" t="s">
        <v>206</v>
      </c>
      <c r="B68" s="91" t="s">
        <v>207</v>
      </c>
      <c r="C68" s="197">
        <v>15007</v>
      </c>
      <c r="D68" s="196">
        <v>2783</v>
      </c>
      <c r="E68" s="89" t="s">
        <v>212</v>
      </c>
      <c r="F68" s="93" t="s">
        <v>213</v>
      </c>
      <c r="G68" s="197">
        <f>268+98</f>
        <v>366</v>
      </c>
      <c r="H68" s="196">
        <v>1</v>
      </c>
    </row>
    <row r="69" spans="1:13">
      <c r="A69" s="89" t="s">
        <v>210</v>
      </c>
      <c r="B69" s="91" t="s">
        <v>211</v>
      </c>
      <c r="C69" s="197">
        <v>4635</v>
      </c>
      <c r="D69" s="196">
        <v>1117</v>
      </c>
      <c r="E69" s="201" t="s">
        <v>79</v>
      </c>
      <c r="F69" s="93" t="s">
        <v>216</v>
      </c>
      <c r="G69" s="197">
        <f>28+11</f>
        <v>39</v>
      </c>
      <c r="H69" s="196"/>
    </row>
    <row r="70" spans="1:13">
      <c r="A70" s="89" t="s">
        <v>214</v>
      </c>
      <c r="B70" s="91" t="s">
        <v>215</v>
      </c>
      <c r="C70" s="197">
        <v>10</v>
      </c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>
        <v>2143</v>
      </c>
      <c r="E71" s="474" t="s">
        <v>47</v>
      </c>
      <c r="F71" s="95" t="s">
        <v>223</v>
      </c>
      <c r="G71" s="597">
        <f>G59+G60+G61+G69+G70</f>
        <v>14680</v>
      </c>
      <c r="H71" s="598">
        <f>H59+H60+H61+H69+H70</f>
        <v>20247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>
        <v>180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19652</v>
      </c>
      <c r="D76" s="598">
        <f>SUM(D68:D75)</f>
        <v>6223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14680</v>
      </c>
      <c r="H79" s="600">
        <f>H71+H73+H75+H77</f>
        <v>20247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>
        <v>5318</v>
      </c>
      <c r="D83" s="196">
        <v>5152</v>
      </c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5318</v>
      </c>
      <c r="D85" s="598">
        <f>D84+D83+D79</f>
        <v>5152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271</v>
      </c>
      <c r="D89" s="196">
        <v>17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274</v>
      </c>
      <c r="D92" s="598">
        <f>SUM(D88:D91)</f>
        <v>20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/>
      <c r="D93" s="479">
        <v>221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25244</v>
      </c>
      <c r="D94" s="602">
        <f>D65+D76+D85+D92+D93</f>
        <v>11616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108338</v>
      </c>
      <c r="D95" s="604">
        <f>D94+D56</f>
        <v>109897</v>
      </c>
      <c r="E95" s="229" t="s">
        <v>942</v>
      </c>
      <c r="F95" s="489" t="s">
        <v>268</v>
      </c>
      <c r="G95" s="603">
        <f>G37+G40+G56+G79</f>
        <v>108338</v>
      </c>
      <c r="H95" s="604">
        <f>H37+H40+H56+H79</f>
        <v>109897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1" t="s">
        <v>977</v>
      </c>
      <c r="B98" s="711">
        <f>pdeReportingDate</f>
        <v>44032</v>
      </c>
      <c r="C98" s="711"/>
      <c r="D98" s="711"/>
      <c r="E98" s="711"/>
      <c r="F98" s="711"/>
      <c r="G98" s="711"/>
      <c r="H98" s="711"/>
      <c r="M98" s="98"/>
    </row>
    <row r="99" spans="1:13">
      <c r="A99" s="691"/>
      <c r="B99" s="52"/>
      <c r="C99" s="52"/>
      <c r="D99" s="52"/>
      <c r="E99" s="52"/>
      <c r="F99" s="52"/>
      <c r="G99" s="52"/>
      <c r="H99" s="52"/>
      <c r="M99" s="98"/>
    </row>
    <row r="100" spans="1:13">
      <c r="A100" s="692" t="s">
        <v>8</v>
      </c>
      <c r="B100" s="712" t="str">
        <f>authorName</f>
        <v>Васил Деков</v>
      </c>
      <c r="C100" s="712"/>
      <c r="D100" s="712"/>
      <c r="E100" s="712"/>
      <c r="F100" s="712"/>
      <c r="G100" s="712"/>
      <c r="H100" s="712"/>
    </row>
    <row r="101" spans="1:13">
      <c r="A101" s="692"/>
      <c r="B101" s="80"/>
      <c r="C101" s="80"/>
      <c r="D101" s="80"/>
      <c r="E101" s="80"/>
      <c r="F101" s="80"/>
      <c r="G101" s="80"/>
      <c r="H101" s="80"/>
    </row>
    <row r="102" spans="1:13">
      <c r="A102" s="692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3"/>
      <c r="B103" s="710" t="s">
        <v>979</v>
      </c>
      <c r="C103" s="710"/>
      <c r="D103" s="710"/>
      <c r="E103" s="710"/>
      <c r="M103" s="98"/>
    </row>
    <row r="104" spans="1:13" ht="21.75" customHeight="1">
      <c r="A104" s="693"/>
      <c r="B104" s="710" t="s">
        <v>979</v>
      </c>
      <c r="C104" s="710"/>
      <c r="D104" s="710"/>
      <c r="E104" s="710"/>
    </row>
    <row r="105" spans="1:13" ht="21.75" customHeight="1">
      <c r="A105" s="693"/>
      <c r="B105" s="710" t="s">
        <v>979</v>
      </c>
      <c r="C105" s="710"/>
      <c r="D105" s="710"/>
      <c r="E105" s="710"/>
      <c r="M105" s="98"/>
    </row>
    <row r="106" spans="1:13" ht="21.75" customHeight="1">
      <c r="A106" s="693"/>
      <c r="B106" s="710" t="s">
        <v>979</v>
      </c>
      <c r="C106" s="710"/>
      <c r="D106" s="710"/>
      <c r="E106" s="710"/>
    </row>
    <row r="107" spans="1:13" ht="21.75" customHeight="1">
      <c r="A107" s="693"/>
      <c r="B107" s="710"/>
      <c r="C107" s="710"/>
      <c r="D107" s="710"/>
      <c r="E107" s="710"/>
      <c r="M107" s="98"/>
    </row>
    <row r="108" spans="1:13" ht="21.75" customHeight="1">
      <c r="A108" s="693"/>
      <c r="B108" s="710"/>
      <c r="C108" s="710"/>
      <c r="D108" s="710"/>
      <c r="E108" s="710"/>
    </row>
    <row r="109" spans="1:13" ht="21.75" customHeight="1">
      <c r="A109" s="693"/>
      <c r="B109" s="710"/>
      <c r="C109" s="710"/>
      <c r="D109" s="710"/>
      <c r="E109" s="710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19" zoomScale="80" zoomScaleNormal="70" zoomScaleSheetLayoutView="80" workbookViewId="0">
      <selection activeCell="E49" sqref="E49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708"/>
    </row>
    <row r="13" spans="1:8">
      <c r="A13" s="194" t="s">
        <v>279</v>
      </c>
      <c r="B13" s="190" t="s">
        <v>280</v>
      </c>
      <c r="C13" s="316">
        <v>728</v>
      </c>
      <c r="D13" s="316">
        <v>192</v>
      </c>
      <c r="E13" s="194" t="s">
        <v>281</v>
      </c>
      <c r="F13" s="240" t="s">
        <v>282</v>
      </c>
      <c r="G13" s="316"/>
      <c r="H13" s="708"/>
    </row>
    <row r="14" spans="1:8">
      <c r="A14" s="194" t="s">
        <v>283</v>
      </c>
      <c r="B14" s="190" t="s">
        <v>284</v>
      </c>
      <c r="C14" s="316">
        <v>34</v>
      </c>
      <c r="D14" s="316">
        <v>23</v>
      </c>
      <c r="E14" s="245" t="s">
        <v>285</v>
      </c>
      <c r="F14" s="240" t="s">
        <v>286</v>
      </c>
      <c r="G14" s="316">
        <v>2</v>
      </c>
      <c r="H14" s="708">
        <v>13</v>
      </c>
    </row>
    <row r="15" spans="1:8">
      <c r="A15" s="194" t="s">
        <v>287</v>
      </c>
      <c r="B15" s="190" t="s">
        <v>288</v>
      </c>
      <c r="C15" s="316">
        <v>155</v>
      </c>
      <c r="D15" s="316">
        <v>148</v>
      </c>
      <c r="E15" s="245" t="s">
        <v>79</v>
      </c>
      <c r="F15" s="240" t="s">
        <v>289</v>
      </c>
      <c r="G15" s="316">
        <v>549</v>
      </c>
      <c r="H15" s="708">
        <v>4416</v>
      </c>
    </row>
    <row r="16" spans="1:8">
      <c r="A16" s="194" t="s">
        <v>290</v>
      </c>
      <c r="B16" s="190" t="s">
        <v>291</v>
      </c>
      <c r="C16" s="316">
        <v>20</v>
      </c>
      <c r="D16" s="316">
        <v>22</v>
      </c>
      <c r="E16" s="236" t="s">
        <v>52</v>
      </c>
      <c r="F16" s="264" t="s">
        <v>292</v>
      </c>
      <c r="G16" s="628">
        <f>SUM(G12:G15)</f>
        <v>551</v>
      </c>
      <c r="H16" s="629">
        <f>SUM(H12:H15)</f>
        <v>4429</v>
      </c>
    </row>
    <row r="17" spans="1:8" ht="31.5">
      <c r="A17" s="194" t="s">
        <v>293</v>
      </c>
      <c r="B17" s="190" t="s">
        <v>294</v>
      </c>
      <c r="C17" s="316"/>
      <c r="D17" s="316">
        <v>1059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14</v>
      </c>
      <c r="H18" s="640"/>
    </row>
    <row r="19" spans="1:8">
      <c r="A19" s="194" t="s">
        <v>299</v>
      </c>
      <c r="B19" s="190" t="s">
        <v>300</v>
      </c>
      <c r="C19" s="316">
        <f>151+450+37+10</f>
        <v>648</v>
      </c>
      <c r="D19" s="316">
        <v>297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10</v>
      </c>
      <c r="D20" s="316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1585</v>
      </c>
      <c r="D22" s="629">
        <f>SUM(D12:D18)+D19</f>
        <v>1741</v>
      </c>
      <c r="E22" s="194" t="s">
        <v>309</v>
      </c>
      <c r="F22" s="237" t="s">
        <v>310</v>
      </c>
      <c r="G22" s="316">
        <v>119</v>
      </c>
      <c r="H22" s="708">
        <v>244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708">
        <v>1372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5657</v>
      </c>
      <c r="H24" s="708">
        <v>92</v>
      </c>
    </row>
    <row r="25" spans="1:8" ht="31.5">
      <c r="A25" s="194" t="s">
        <v>316</v>
      </c>
      <c r="B25" s="237" t="s">
        <v>317</v>
      </c>
      <c r="C25" s="316">
        <v>1935</v>
      </c>
      <c r="D25" s="708">
        <v>3031</v>
      </c>
      <c r="E25" s="194" t="s">
        <v>318</v>
      </c>
      <c r="F25" s="237" t="s">
        <v>319</v>
      </c>
      <c r="G25" s="316"/>
      <c r="H25" s="708"/>
    </row>
    <row r="26" spans="1:8" ht="31.5">
      <c r="A26" s="194" t="s">
        <v>320</v>
      </c>
      <c r="B26" s="237" t="s">
        <v>321</v>
      </c>
      <c r="C26" s="316">
        <v>87</v>
      </c>
      <c r="D26" s="708">
        <v>74</v>
      </c>
      <c r="E26" s="194" t="s">
        <v>322</v>
      </c>
      <c r="F26" s="237" t="s">
        <v>323</v>
      </c>
      <c r="G26" s="316"/>
      <c r="H26" s="708"/>
    </row>
    <row r="27" spans="1:8" ht="31.5">
      <c r="A27" s="194" t="s">
        <v>324</v>
      </c>
      <c r="B27" s="237" t="s">
        <v>325</v>
      </c>
      <c r="C27" s="316"/>
      <c r="D27" s="708"/>
      <c r="E27" s="236" t="s">
        <v>104</v>
      </c>
      <c r="F27" s="238" t="s">
        <v>326</v>
      </c>
      <c r="G27" s="628">
        <f>SUM(G22:G26)</f>
        <v>5776</v>
      </c>
      <c r="H27" s="629">
        <f>SUM(H22:H26)</f>
        <v>1708</v>
      </c>
    </row>
    <row r="28" spans="1:8">
      <c r="A28" s="194" t="s">
        <v>79</v>
      </c>
      <c r="B28" s="237" t="s">
        <v>327</v>
      </c>
      <c r="C28" s="316">
        <v>12</v>
      </c>
      <c r="D28" s="708">
        <v>94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2034</v>
      </c>
      <c r="D29" s="629">
        <f>SUM(D25:D28)</f>
        <v>3199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3619</v>
      </c>
      <c r="D31" s="635">
        <f>D29+D22</f>
        <v>4940</v>
      </c>
      <c r="E31" s="251" t="s">
        <v>824</v>
      </c>
      <c r="F31" s="266" t="s">
        <v>331</v>
      </c>
      <c r="G31" s="253">
        <f>G16+G18+G27</f>
        <v>6341</v>
      </c>
      <c r="H31" s="254">
        <f>H16+H18+H27</f>
        <v>6137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2722</v>
      </c>
      <c r="D33" s="244">
        <f>IF((H31-D31)&gt;0,H31-D31,0)</f>
        <v>1197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3619</v>
      </c>
      <c r="D36" s="637">
        <f>D31-D34+D35</f>
        <v>4940</v>
      </c>
      <c r="E36" s="262" t="s">
        <v>346</v>
      </c>
      <c r="F36" s="256" t="s">
        <v>347</v>
      </c>
      <c r="G36" s="267">
        <f>G35-G34+G31</f>
        <v>6341</v>
      </c>
      <c r="H36" s="268">
        <f>H35-H34+H31</f>
        <v>6137</v>
      </c>
    </row>
    <row r="37" spans="1:8">
      <c r="A37" s="261" t="s">
        <v>348</v>
      </c>
      <c r="B37" s="231" t="s">
        <v>349</v>
      </c>
      <c r="C37" s="634">
        <f>IF((G36-C36)&gt;0,G36-C36,0)</f>
        <v>2722</v>
      </c>
      <c r="D37" s="635">
        <f>IF((H36-D36)&gt;0,H36-D36,0)</f>
        <v>1197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132</v>
      </c>
      <c r="D38" s="629">
        <f>D39+D40+D41</f>
        <v>223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97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35</v>
      </c>
      <c r="D40" s="317">
        <v>223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2590</v>
      </c>
      <c r="D42" s="244">
        <f>+IF((H36-D36-D38)&gt;0,H36-D36-D38,0)</f>
        <v>974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2590</v>
      </c>
      <c r="D44" s="268">
        <f>IF(H42=0,IF(D42-D43&gt;0,D42-D43+H43,0),IF(H42-H43&lt;0,H43-H42+D42,0))</f>
        <v>974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6341</v>
      </c>
      <c r="D45" s="631">
        <f>D36+D38+D42</f>
        <v>6137</v>
      </c>
      <c r="E45" s="270" t="s">
        <v>373</v>
      </c>
      <c r="F45" s="272" t="s">
        <v>374</v>
      </c>
      <c r="G45" s="630">
        <f>G42+G36</f>
        <v>6341</v>
      </c>
      <c r="H45" s="631">
        <f>H42+H36</f>
        <v>6137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1" t="s">
        <v>977</v>
      </c>
      <c r="B50" s="711">
        <f>pdeReportingDate</f>
        <v>44032</v>
      </c>
      <c r="C50" s="711"/>
      <c r="D50" s="711"/>
      <c r="E50" s="711"/>
      <c r="F50" s="711"/>
      <c r="G50" s="711"/>
      <c r="H50" s="711"/>
      <c r="M50" s="98"/>
    </row>
    <row r="51" spans="1:13" s="42" customFormat="1">
      <c r="A51" s="691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2" t="s">
        <v>8</v>
      </c>
      <c r="B52" s="712" t="str">
        <f>authorName</f>
        <v>Васил Деков</v>
      </c>
      <c r="C52" s="712"/>
      <c r="D52" s="712"/>
      <c r="E52" s="712"/>
      <c r="F52" s="712"/>
      <c r="G52" s="712"/>
      <c r="H52" s="712"/>
    </row>
    <row r="53" spans="1:13" s="42" customFormat="1">
      <c r="A53" s="692"/>
      <c r="B53" s="80"/>
      <c r="C53" s="80"/>
      <c r="D53" s="80"/>
      <c r="E53" s="80"/>
      <c r="F53" s="80"/>
      <c r="G53" s="80"/>
      <c r="H53" s="80"/>
    </row>
    <row r="54" spans="1:13" s="42" customFormat="1">
      <c r="A54" s="692" t="s">
        <v>920</v>
      </c>
      <c r="B54" s="713"/>
      <c r="C54" s="713"/>
      <c r="D54" s="713"/>
      <c r="E54" s="713"/>
      <c r="F54" s="713"/>
      <c r="G54" s="713"/>
      <c r="H54" s="713"/>
    </row>
    <row r="55" spans="1:13" ht="15.75" customHeight="1">
      <c r="A55" s="693"/>
      <c r="B55" s="710" t="s">
        <v>979</v>
      </c>
      <c r="C55" s="710"/>
      <c r="D55" s="710"/>
      <c r="E55" s="710"/>
      <c r="F55" s="574"/>
      <c r="G55" s="45"/>
      <c r="H55" s="42"/>
    </row>
    <row r="56" spans="1:13" ht="15.75" customHeight="1">
      <c r="A56" s="693"/>
      <c r="B56" s="710" t="s">
        <v>979</v>
      </c>
      <c r="C56" s="710"/>
      <c r="D56" s="710"/>
      <c r="E56" s="710"/>
      <c r="F56" s="574"/>
      <c r="G56" s="45"/>
      <c r="H56" s="42"/>
    </row>
    <row r="57" spans="1:13" ht="15.75" customHeight="1">
      <c r="A57" s="693"/>
      <c r="B57" s="710" t="s">
        <v>979</v>
      </c>
      <c r="C57" s="710"/>
      <c r="D57" s="710"/>
      <c r="E57" s="710"/>
      <c r="F57" s="574"/>
      <c r="G57" s="45"/>
      <c r="H57" s="42"/>
    </row>
    <row r="58" spans="1:13" ht="15.75" customHeight="1">
      <c r="A58" s="693"/>
      <c r="B58" s="710" t="s">
        <v>979</v>
      </c>
      <c r="C58" s="710"/>
      <c r="D58" s="710"/>
      <c r="E58" s="710"/>
      <c r="F58" s="574"/>
      <c r="G58" s="45"/>
      <c r="H58" s="42"/>
    </row>
    <row r="59" spans="1:13">
      <c r="A59" s="693"/>
      <c r="B59" s="710"/>
      <c r="C59" s="710"/>
      <c r="D59" s="710"/>
      <c r="E59" s="710"/>
      <c r="F59" s="574"/>
      <c r="G59" s="45"/>
      <c r="H59" s="42"/>
    </row>
    <row r="60" spans="1:13">
      <c r="A60" s="693"/>
      <c r="B60" s="710"/>
      <c r="C60" s="710"/>
      <c r="D60" s="710"/>
      <c r="E60" s="710"/>
      <c r="F60" s="574"/>
      <c r="G60" s="45"/>
      <c r="H60" s="42"/>
    </row>
    <row r="61" spans="1:13">
      <c r="A61" s="693"/>
      <c r="B61" s="710"/>
      <c r="C61" s="710"/>
      <c r="D61" s="710"/>
      <c r="E61" s="710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3:H43 C41:D41 C43:D43 C12:C17 G18:H19 G12:G15 G34:H35 G22:G26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26" zoomScaleNormal="100" zoomScaleSheetLayoutView="80" workbookViewId="0">
      <selection activeCell="C53" sqref="C53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121643011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</v>
      </c>
      <c r="D11" s="709">
        <v>17</v>
      </c>
      <c r="E11" s="177"/>
      <c r="F11" s="177"/>
    </row>
    <row r="12" spans="1:13">
      <c r="A12" s="277" t="s">
        <v>380</v>
      </c>
      <c r="B12" s="178" t="s">
        <v>381</v>
      </c>
      <c r="C12" s="197">
        <v>-618</v>
      </c>
      <c r="D12" s="709">
        <v>-263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10645</v>
      </c>
      <c r="D13" s="709">
        <v>38142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-183</v>
      </c>
      <c r="D14" s="709">
        <v>-168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</v>
      </c>
      <c r="D15" s="709">
        <v>-171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709">
        <v>-151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67</v>
      </c>
      <c r="D17" s="709">
        <v>155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9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709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f>14-205</f>
        <v>-191</v>
      </c>
      <c r="D20" s="709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9711</v>
      </c>
      <c r="D21" s="659">
        <f>SUM(D11:D20)</f>
        <v>37551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709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519</v>
      </c>
      <c r="D24" s="709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-6281</v>
      </c>
      <c r="D25" s="709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709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709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f>-18269-7170</f>
        <v>-25439</v>
      </c>
      <c r="D28" s="709">
        <v>-24994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7288</v>
      </c>
      <c r="D29" s="709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709">
        <v>205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709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709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-23913</v>
      </c>
      <c r="D33" s="659">
        <f>SUM(D23:D32)</f>
        <v>-24789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>
        <v>20250</v>
      </c>
      <c r="D35" s="709"/>
      <c r="E35" s="177"/>
      <c r="F35" s="177"/>
    </row>
    <row r="36" spans="1:13">
      <c r="A36" s="278" t="s">
        <v>425</v>
      </c>
      <c r="B36" s="178" t="s">
        <v>426</v>
      </c>
      <c r="C36" s="197"/>
      <c r="D36" s="709"/>
      <c r="E36" s="177"/>
      <c r="F36" s="177"/>
    </row>
    <row r="37" spans="1:13">
      <c r="A37" s="277" t="s">
        <v>427</v>
      </c>
      <c r="B37" s="178" t="s">
        <v>428</v>
      </c>
      <c r="C37" s="197">
        <f>3575+1270</f>
        <v>4845</v>
      </c>
      <c r="D37" s="709">
        <v>29446</v>
      </c>
      <c r="E37" s="177"/>
      <c r="F37" s="177"/>
    </row>
    <row r="38" spans="1:13">
      <c r="A38" s="277" t="s">
        <v>429</v>
      </c>
      <c r="B38" s="178" t="s">
        <v>430</v>
      </c>
      <c r="C38" s="197">
        <f>-1945-6634</f>
        <v>-8579</v>
      </c>
      <c r="D38" s="709">
        <v>-40651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709"/>
      <c r="E39" s="177"/>
      <c r="F39" s="177"/>
    </row>
    <row r="40" spans="1:13" ht="31.5">
      <c r="A40" s="277" t="s">
        <v>433</v>
      </c>
      <c r="B40" s="178" t="s">
        <v>434</v>
      </c>
      <c r="C40" s="197">
        <v>-2050</v>
      </c>
      <c r="D40" s="709">
        <v>-1556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709"/>
      <c r="E41" s="177"/>
      <c r="F41" s="177"/>
    </row>
    <row r="42" spans="1:13">
      <c r="A42" s="277" t="s">
        <v>437</v>
      </c>
      <c r="B42" s="178" t="s">
        <v>438</v>
      </c>
      <c r="C42" s="197">
        <v>-10</v>
      </c>
      <c r="D42" s="709">
        <v>-93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14456</v>
      </c>
      <c r="D43" s="661">
        <f>SUM(D35:D42)</f>
        <v>-12854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254</v>
      </c>
      <c r="D44" s="307">
        <f>D43+D33+D21</f>
        <v>-92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20</v>
      </c>
      <c r="D45" s="309">
        <v>112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274</v>
      </c>
      <c r="D46" s="311">
        <f>D45+D44</f>
        <v>20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274</v>
      </c>
      <c r="D47" s="298">
        <v>20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9" t="s">
        <v>968</v>
      </c>
      <c r="G50" s="180"/>
      <c r="H50" s="180"/>
    </row>
    <row r="51" spans="1:13">
      <c r="A51" s="715" t="s">
        <v>974</v>
      </c>
      <c r="B51" s="715"/>
      <c r="C51" s="715"/>
      <c r="D51" s="715"/>
      <c r="G51" s="180"/>
      <c r="H51" s="180"/>
    </row>
    <row r="52" spans="1:13">
      <c r="A52" s="690"/>
      <c r="B52" s="690"/>
      <c r="C52" s="690"/>
      <c r="D52" s="690"/>
      <c r="G52" s="180"/>
      <c r="H52" s="180"/>
    </row>
    <row r="53" spans="1:13">
      <c r="A53" s="690"/>
      <c r="B53" s="690"/>
      <c r="C53" s="690"/>
      <c r="D53" s="690"/>
      <c r="G53" s="180"/>
      <c r="H53" s="180"/>
    </row>
    <row r="54" spans="1:13" s="42" customFormat="1">
      <c r="A54" s="691" t="s">
        <v>977</v>
      </c>
      <c r="B54" s="711">
        <f>pdeReportingDate</f>
        <v>44032</v>
      </c>
      <c r="C54" s="711"/>
      <c r="D54" s="711"/>
      <c r="E54" s="711"/>
      <c r="F54" s="694"/>
      <c r="G54" s="694"/>
      <c r="H54" s="694"/>
      <c r="M54" s="98"/>
    </row>
    <row r="55" spans="1:13" s="42" customFormat="1">
      <c r="A55" s="691"/>
      <c r="B55" s="711"/>
      <c r="C55" s="711"/>
      <c r="D55" s="711"/>
      <c r="E55" s="711"/>
      <c r="F55" s="52"/>
      <c r="G55" s="52"/>
      <c r="H55" s="52"/>
      <c r="M55" s="98"/>
    </row>
    <row r="56" spans="1:13" s="42" customFormat="1">
      <c r="A56" s="692" t="s">
        <v>8</v>
      </c>
      <c r="B56" s="712" t="str">
        <f>authorName</f>
        <v>Васил Деков</v>
      </c>
      <c r="C56" s="712"/>
      <c r="D56" s="712"/>
      <c r="E56" s="712"/>
      <c r="F56" s="80"/>
      <c r="G56" s="80"/>
      <c r="H56" s="80"/>
    </row>
    <row r="57" spans="1:13" s="42" customFormat="1">
      <c r="A57" s="692"/>
      <c r="B57" s="712"/>
      <c r="C57" s="712"/>
      <c r="D57" s="712"/>
      <c r="E57" s="712"/>
      <c r="F57" s="80"/>
      <c r="G57" s="80"/>
      <c r="H57" s="80"/>
    </row>
    <row r="58" spans="1:13" s="42" customFormat="1">
      <c r="A58" s="692" t="s">
        <v>920</v>
      </c>
      <c r="B58" s="712"/>
      <c r="C58" s="712"/>
      <c r="D58" s="712"/>
      <c r="E58" s="712"/>
      <c r="F58" s="80"/>
      <c r="G58" s="80"/>
      <c r="H58" s="80"/>
    </row>
    <row r="59" spans="1:13" s="191" customFormat="1">
      <c r="A59" s="693"/>
      <c r="B59" s="710" t="s">
        <v>979</v>
      </c>
      <c r="C59" s="710"/>
      <c r="D59" s="710"/>
      <c r="E59" s="710"/>
      <c r="F59" s="574"/>
      <c r="G59" s="45"/>
      <c r="H59" s="42"/>
    </row>
    <row r="60" spans="1:13">
      <c r="A60" s="693"/>
      <c r="B60" s="710" t="s">
        <v>979</v>
      </c>
      <c r="C60" s="710"/>
      <c r="D60" s="710"/>
      <c r="E60" s="710"/>
      <c r="F60" s="574"/>
      <c r="G60" s="45"/>
      <c r="H60" s="42"/>
    </row>
    <row r="61" spans="1:13">
      <c r="A61" s="693"/>
      <c r="B61" s="710" t="s">
        <v>979</v>
      </c>
      <c r="C61" s="710"/>
      <c r="D61" s="710"/>
      <c r="E61" s="710"/>
      <c r="F61" s="574"/>
      <c r="G61" s="45"/>
      <c r="H61" s="42"/>
    </row>
    <row r="62" spans="1:13">
      <c r="A62" s="693"/>
      <c r="B62" s="710" t="s">
        <v>979</v>
      </c>
      <c r="C62" s="710"/>
      <c r="D62" s="710"/>
      <c r="E62" s="710"/>
      <c r="F62" s="574"/>
      <c r="G62" s="45"/>
      <c r="H62" s="42"/>
    </row>
    <row r="63" spans="1:13">
      <c r="A63" s="693"/>
      <c r="B63" s="710"/>
      <c r="C63" s="710"/>
      <c r="D63" s="710"/>
      <c r="E63" s="710"/>
      <c r="F63" s="574"/>
      <c r="G63" s="45"/>
      <c r="H63" s="42"/>
    </row>
    <row r="64" spans="1:13">
      <c r="A64" s="693"/>
      <c r="B64" s="710"/>
      <c r="C64" s="710"/>
      <c r="D64" s="710"/>
      <c r="E64" s="710"/>
      <c r="F64" s="574"/>
      <c r="G64" s="45"/>
      <c r="H64" s="42"/>
    </row>
    <row r="65" spans="1:8">
      <c r="A65" s="693"/>
      <c r="B65" s="710"/>
      <c r="C65" s="710"/>
      <c r="D65" s="710"/>
      <c r="E65" s="710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:C32 C11:C20 C35:C4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16" zoomScale="80" zoomScaleNormal="100" zoomScaleSheetLayoutView="80" workbookViewId="0">
      <selection activeCell="K37" sqref="K37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0" t="s">
        <v>453</v>
      </c>
      <c r="B8" s="723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1"/>
      <c r="B9" s="724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6" t="s">
        <v>458</v>
      </c>
      <c r="J9" s="726" t="s">
        <v>459</v>
      </c>
      <c r="K9" s="717"/>
      <c r="L9" s="717"/>
      <c r="M9" s="536" t="s">
        <v>825</v>
      </c>
      <c r="N9" s="532"/>
    </row>
    <row r="10" spans="1:14" s="533" customFormat="1" ht="31.5">
      <c r="A10" s="722"/>
      <c r="B10" s="725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4110</v>
      </c>
      <c r="D13" s="584">
        <f>'1-Баланс'!H20</f>
        <v>11625</v>
      </c>
      <c r="E13" s="584">
        <f>'1-Баланс'!H21</f>
        <v>1585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16336</v>
      </c>
      <c r="J13" s="584">
        <f>'1-Баланс'!H30+'1-Баланс'!H33</f>
        <v>0</v>
      </c>
      <c r="K13" s="585"/>
      <c r="L13" s="584">
        <f>SUM(C13:K13)</f>
        <v>33656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4110</v>
      </c>
      <c r="D17" s="653">
        <f t="shared" ref="D17:M17" si="2">D13+D14</f>
        <v>11625</v>
      </c>
      <c r="E17" s="653">
        <f t="shared" si="2"/>
        <v>1585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16336</v>
      </c>
      <c r="J17" s="653">
        <f t="shared" si="2"/>
        <v>0</v>
      </c>
      <c r="K17" s="653">
        <f t="shared" si="2"/>
        <v>0</v>
      </c>
      <c r="L17" s="584">
        <f t="shared" si="1"/>
        <v>33656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2590</v>
      </c>
      <c r="J18" s="584">
        <f>+'1-Баланс'!G33</f>
        <v>0</v>
      </c>
      <c r="K18" s="585"/>
      <c r="L18" s="584">
        <f t="shared" si="1"/>
        <v>2590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424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424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>
        <v>424</v>
      </c>
      <c r="F27" s="316"/>
      <c r="G27" s="316"/>
      <c r="H27" s="316"/>
      <c r="I27" s="316"/>
      <c r="J27" s="316"/>
      <c r="K27" s="316"/>
      <c r="L27" s="584">
        <f t="shared" si="1"/>
        <v>424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>
        <v>1500</v>
      </c>
      <c r="D30" s="316">
        <v>18750</v>
      </c>
      <c r="E30" s="316"/>
      <c r="F30" s="316"/>
      <c r="G30" s="316"/>
      <c r="H30" s="316"/>
      <c r="I30" s="316"/>
      <c r="J30" s="316"/>
      <c r="K30" s="316"/>
      <c r="L30" s="584">
        <f t="shared" si="1"/>
        <v>20250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5610</v>
      </c>
      <c r="D31" s="653">
        <f t="shared" ref="D31:M31" si="6">D19+D22+D23+D26+D30+D29+D17+D18</f>
        <v>30375</v>
      </c>
      <c r="E31" s="653">
        <f t="shared" si="6"/>
        <v>2009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18926</v>
      </c>
      <c r="J31" s="653">
        <f t="shared" si="6"/>
        <v>0</v>
      </c>
      <c r="K31" s="653">
        <f t="shared" si="6"/>
        <v>0</v>
      </c>
      <c r="L31" s="584">
        <f t="shared" si="1"/>
        <v>56920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5610</v>
      </c>
      <c r="D34" s="587">
        <f t="shared" si="7"/>
        <v>30375</v>
      </c>
      <c r="E34" s="587">
        <f t="shared" si="7"/>
        <v>2009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18926</v>
      </c>
      <c r="J34" s="587">
        <f t="shared" si="7"/>
        <v>0</v>
      </c>
      <c r="K34" s="587">
        <f t="shared" si="7"/>
        <v>0</v>
      </c>
      <c r="L34" s="651">
        <f t="shared" si="1"/>
        <v>56920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1" t="s">
        <v>977</v>
      </c>
      <c r="B38" s="711">
        <f>pdeReportingDate</f>
        <v>44032</v>
      </c>
      <c r="C38" s="711"/>
      <c r="D38" s="711"/>
      <c r="E38" s="711"/>
      <c r="F38" s="711"/>
      <c r="G38" s="711"/>
      <c r="H38" s="711"/>
      <c r="M38" s="169"/>
    </row>
    <row r="39" spans="1:14">
      <c r="A39" s="691"/>
      <c r="B39" s="52"/>
      <c r="C39" s="52"/>
      <c r="D39" s="52"/>
      <c r="E39" s="52"/>
      <c r="F39" s="52"/>
      <c r="G39" s="52"/>
      <c r="H39" s="52"/>
      <c r="M39" s="169"/>
    </row>
    <row r="40" spans="1:14">
      <c r="A40" s="692" t="s">
        <v>8</v>
      </c>
      <c r="B40" s="712" t="str">
        <f>authorName</f>
        <v>Васил Деков</v>
      </c>
      <c r="C40" s="712"/>
      <c r="D40" s="712"/>
      <c r="E40" s="712"/>
      <c r="F40" s="712"/>
      <c r="G40" s="712"/>
      <c r="H40" s="712"/>
      <c r="M40" s="169"/>
    </row>
    <row r="41" spans="1:14">
      <c r="A41" s="692"/>
      <c r="B41" s="80"/>
      <c r="C41" s="80"/>
      <c r="D41" s="80"/>
      <c r="E41" s="80"/>
      <c r="F41" s="80"/>
      <c r="G41" s="80"/>
      <c r="H41" s="80"/>
      <c r="M41" s="169"/>
    </row>
    <row r="42" spans="1:14">
      <c r="A42" s="692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4">
      <c r="A43" s="693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4">
      <c r="A44" s="693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4">
      <c r="A45" s="693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4">
      <c r="A46" s="693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4">
      <c r="A47" s="693"/>
      <c r="B47" s="710"/>
      <c r="C47" s="710"/>
      <c r="D47" s="710"/>
      <c r="E47" s="710"/>
      <c r="F47" s="574"/>
      <c r="G47" s="45"/>
      <c r="H47" s="42"/>
      <c r="M47" s="169"/>
    </row>
    <row r="48" spans="1:14">
      <c r="A48" s="693"/>
      <c r="B48" s="710"/>
      <c r="C48" s="710"/>
      <c r="D48" s="710"/>
      <c r="E48" s="710"/>
      <c r="F48" s="574"/>
      <c r="G48" s="45"/>
      <c r="H48" s="42"/>
      <c r="M48" s="169"/>
    </row>
    <row r="49" spans="1:13">
      <c r="A49" s="693"/>
      <c r="B49" s="710"/>
      <c r="C49" s="710"/>
      <c r="D49" s="710"/>
      <c r="E49" s="710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100" zoomScale="70" zoomScaleNormal="70" zoomScaleSheetLayoutView="70" workbookViewId="0">
      <selection activeCell="D84" sqref="D84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121643011</v>
      </c>
      <c r="B4" s="40"/>
      <c r="C4" s="23"/>
      <c r="D4" s="22"/>
    </row>
    <row r="5" spans="1: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704" t="s">
        <v>997</v>
      </c>
      <c r="B12" s="705"/>
      <c r="C12" s="92">
        <v>12185</v>
      </c>
      <c r="D12" s="92">
        <v>100</v>
      </c>
      <c r="E12" s="92"/>
      <c r="F12" s="469">
        <f>C12-E12</f>
        <v>12185</v>
      </c>
    </row>
    <row r="13" spans="1:15">
      <c r="A13" s="704" t="s">
        <v>1005</v>
      </c>
      <c r="B13" s="705"/>
      <c r="C13" s="92">
        <v>16289</v>
      </c>
      <c r="D13" s="92">
        <v>100</v>
      </c>
      <c r="E13" s="92"/>
      <c r="F13" s="469">
        <f t="shared" ref="F13:F26" si="0">C13-E13</f>
        <v>16289</v>
      </c>
    </row>
    <row r="14" spans="1:15">
      <c r="A14" s="704" t="s">
        <v>1007</v>
      </c>
      <c r="B14" s="705"/>
      <c r="C14" s="92">
        <v>6900</v>
      </c>
      <c r="D14" s="92">
        <v>100</v>
      </c>
      <c r="E14" s="92"/>
      <c r="F14" s="469">
        <f t="shared" si="0"/>
        <v>6900</v>
      </c>
    </row>
    <row r="15" spans="1:15">
      <c r="A15" s="704" t="s">
        <v>1008</v>
      </c>
      <c r="B15" s="705"/>
      <c r="C15" s="92">
        <v>20000</v>
      </c>
      <c r="D15" s="92">
        <v>99.88</v>
      </c>
      <c r="E15" s="92"/>
      <c r="F15" s="469">
        <f>C15-E15</f>
        <v>20000</v>
      </c>
    </row>
    <row r="16" spans="1:15">
      <c r="A16" s="704" t="s">
        <v>1009</v>
      </c>
      <c r="B16" s="705"/>
      <c r="C16" s="92">
        <v>650</v>
      </c>
      <c r="D16" s="92">
        <v>100</v>
      </c>
      <c r="E16" s="92"/>
      <c r="F16" s="469">
        <f>C16-E16</f>
        <v>650</v>
      </c>
    </row>
    <row r="17" spans="1:6">
      <c r="A17" s="704" t="s">
        <v>1012</v>
      </c>
      <c r="B17" s="705"/>
      <c r="C17" s="706">
        <v>2970</v>
      </c>
      <c r="D17" s="707">
        <v>100</v>
      </c>
      <c r="E17" s="92"/>
      <c r="F17" s="469">
        <f>C17-E17</f>
        <v>2970</v>
      </c>
    </row>
    <row r="18" spans="1:6">
      <c r="A18" s="704">
        <v>7</v>
      </c>
      <c r="B18" s="705"/>
      <c r="C18" s="706"/>
      <c r="D18" s="707"/>
      <c r="E18" s="92"/>
      <c r="F18" s="469">
        <f>C18-E18</f>
        <v>0</v>
      </c>
    </row>
    <row r="19" spans="1:6">
      <c r="A19" s="679">
        <v>8</v>
      </c>
      <c r="B19" s="680"/>
      <c r="C19" s="92"/>
      <c r="D19" s="707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58994</v>
      </c>
      <c r="D27" s="472"/>
      <c r="E27" s="472">
        <f>SUM(E12:E26)</f>
        <v>0</v>
      </c>
      <c r="F27" s="472">
        <f>SUM(F12:F26)</f>
        <v>58994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704" t="s">
        <v>521</v>
      </c>
      <c r="B46" s="705"/>
      <c r="C46" s="706">
        <v>0</v>
      </c>
      <c r="D46" s="707"/>
      <c r="E46" s="92"/>
      <c r="F46" s="469">
        <f>C46-E46</f>
        <v>0</v>
      </c>
    </row>
    <row r="47" spans="1:6">
      <c r="A47" s="704" t="s">
        <v>1001</v>
      </c>
      <c r="B47" s="705"/>
      <c r="C47" s="706"/>
      <c r="D47" s="707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704" t="s">
        <v>998</v>
      </c>
      <c r="B63" s="705"/>
      <c r="C63" s="706">
        <v>35</v>
      </c>
      <c r="D63" s="707">
        <v>9</v>
      </c>
      <c r="E63" s="92"/>
      <c r="F63" s="469">
        <f>C63-E63</f>
        <v>35</v>
      </c>
    </row>
    <row r="64" spans="1:6">
      <c r="A64" s="704" t="s">
        <v>999</v>
      </c>
      <c r="B64" s="705"/>
      <c r="C64" s="706">
        <v>2</v>
      </c>
      <c r="D64" s="707">
        <v>0</v>
      </c>
      <c r="E64" s="92"/>
      <c r="F64" s="469">
        <f t="shared" ref="F64:F77" si="3">C64-E64</f>
        <v>2</v>
      </c>
    </row>
    <row r="65" spans="1:6">
      <c r="A65" s="704" t="s">
        <v>1000</v>
      </c>
      <c r="B65" s="705"/>
      <c r="C65" s="706">
        <v>356</v>
      </c>
      <c r="D65" s="707">
        <v>3.77</v>
      </c>
      <c r="E65" s="92"/>
      <c r="F65" s="469">
        <f t="shared" si="3"/>
        <v>356</v>
      </c>
    </row>
    <row r="66" spans="1:6">
      <c r="A66" s="704" t="s">
        <v>1003</v>
      </c>
      <c r="B66" s="705"/>
      <c r="C66" s="706">
        <v>0</v>
      </c>
      <c r="D66" s="707">
        <v>0.01</v>
      </c>
      <c r="E66" s="92"/>
      <c r="F66" s="469">
        <f t="shared" si="3"/>
        <v>0</v>
      </c>
    </row>
    <row r="67" spans="1:6">
      <c r="A67" s="704" t="s">
        <v>1004</v>
      </c>
      <c r="B67" s="705"/>
      <c r="C67" s="706">
        <f>5981-C63-C64-C65</f>
        <v>5588</v>
      </c>
      <c r="D67" s="707">
        <v>100</v>
      </c>
      <c r="E67" s="92"/>
      <c r="F67" s="469">
        <f t="shared" si="3"/>
        <v>5588</v>
      </c>
    </row>
    <row r="68" spans="1:6">
      <c r="A68" s="704">
        <v>6</v>
      </c>
      <c r="B68" s="705"/>
      <c r="C68" s="706"/>
      <c r="D68" s="706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5981</v>
      </c>
      <c r="D78" s="472"/>
      <c r="E78" s="472">
        <f>SUM(E63:E77)</f>
        <v>0</v>
      </c>
      <c r="F78" s="472">
        <f>SUM(F63:F77)</f>
        <v>5981</v>
      </c>
    </row>
    <row r="79" spans="1:6">
      <c r="A79" s="513" t="s">
        <v>801</v>
      </c>
      <c r="B79" s="510" t="s">
        <v>802</v>
      </c>
      <c r="C79" s="472">
        <f>C78+C61+C44+C27</f>
        <v>64975</v>
      </c>
      <c r="D79" s="472"/>
      <c r="E79" s="472">
        <f>E78+E61+E44+E27</f>
        <v>0</v>
      </c>
      <c r="F79" s="472">
        <f>F78+F61+F44+F27</f>
        <v>64975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704">
        <v>1</v>
      </c>
      <c r="B82" s="705"/>
      <c r="C82" s="706"/>
      <c r="D82" s="707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1" t="s">
        <v>977</v>
      </c>
      <c r="B151" s="711">
        <f>pdeReportingDate</f>
        <v>44032</v>
      </c>
      <c r="C151" s="711"/>
      <c r="D151" s="711"/>
      <c r="E151" s="711"/>
      <c r="F151" s="711"/>
      <c r="G151" s="711"/>
      <c r="H151" s="711"/>
    </row>
    <row r="152" spans="1:8">
      <c r="A152" s="691"/>
      <c r="B152" s="52"/>
      <c r="C152" s="52"/>
      <c r="D152" s="52"/>
      <c r="E152" s="52"/>
      <c r="F152" s="52"/>
      <c r="G152" s="52"/>
      <c r="H152" s="52"/>
    </row>
    <row r="153" spans="1:8">
      <c r="A153" s="692" t="s">
        <v>8</v>
      </c>
      <c r="B153" s="712" t="str">
        <f>authorName</f>
        <v>Васил Деков</v>
      </c>
      <c r="C153" s="712"/>
      <c r="D153" s="712"/>
      <c r="E153" s="712"/>
      <c r="F153" s="712"/>
      <c r="G153" s="712"/>
      <c r="H153" s="712"/>
    </row>
    <row r="154" spans="1:8">
      <c r="A154" s="692"/>
      <c r="B154" s="80"/>
      <c r="C154" s="80"/>
      <c r="D154" s="80"/>
      <c r="E154" s="80"/>
      <c r="F154" s="80"/>
      <c r="G154" s="80"/>
      <c r="H154" s="80"/>
    </row>
    <row r="155" spans="1:8">
      <c r="A155" s="692" t="s">
        <v>920</v>
      </c>
      <c r="B155" s="713"/>
      <c r="C155" s="713"/>
      <c r="D155" s="713"/>
      <c r="E155" s="713"/>
      <c r="F155" s="713"/>
      <c r="G155" s="713"/>
      <c r="H155" s="713"/>
    </row>
    <row r="156" spans="1:8">
      <c r="A156" s="693"/>
      <c r="B156" s="710" t="s">
        <v>979</v>
      </c>
      <c r="C156" s="710"/>
      <c r="D156" s="710"/>
      <c r="E156" s="710"/>
      <c r="F156" s="574"/>
      <c r="G156" s="45"/>
      <c r="H156" s="42"/>
    </row>
    <row r="157" spans="1:8">
      <c r="A157" s="693"/>
      <c r="B157" s="710" t="s">
        <v>979</v>
      </c>
      <c r="C157" s="710"/>
      <c r="D157" s="710"/>
      <c r="E157" s="710"/>
      <c r="F157" s="574"/>
      <c r="G157" s="45"/>
      <c r="H157" s="42"/>
    </row>
    <row r="158" spans="1:8">
      <c r="A158" s="693"/>
      <c r="B158" s="710" t="s">
        <v>979</v>
      </c>
      <c r="C158" s="710"/>
      <c r="D158" s="710"/>
      <c r="E158" s="710"/>
      <c r="F158" s="574"/>
      <c r="G158" s="45"/>
      <c r="H158" s="42"/>
    </row>
    <row r="159" spans="1:8">
      <c r="A159" s="693"/>
      <c r="B159" s="710" t="s">
        <v>979</v>
      </c>
      <c r="C159" s="710"/>
      <c r="D159" s="710"/>
      <c r="E159" s="710"/>
      <c r="F159" s="574"/>
      <c r="G159" s="45"/>
      <c r="H159" s="42"/>
    </row>
    <row r="160" spans="1:8">
      <c r="A160" s="693"/>
      <c r="B160" s="710"/>
      <c r="C160" s="710"/>
      <c r="D160" s="710"/>
      <c r="E160" s="710"/>
      <c r="F160" s="574"/>
      <c r="G160" s="45"/>
      <c r="H160" s="42"/>
    </row>
    <row r="161" spans="1:8">
      <c r="A161" s="693"/>
      <c r="B161" s="710"/>
      <c r="C161" s="710"/>
      <c r="D161" s="710"/>
      <c r="E161" s="710"/>
      <c r="F161" s="574"/>
      <c r="G161" s="45"/>
      <c r="H161" s="42"/>
    </row>
    <row r="162" spans="1:8">
      <c r="A162" s="693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topLeftCell="A10" zoomScale="80" zoomScaleNormal="85" zoomScaleSheetLayoutView="80" workbookViewId="0">
      <selection activeCell="L43" sqref="L43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702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702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702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702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702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702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2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58</v>
      </c>
      <c r="L18" s="328">
        <v>23</v>
      </c>
      <c r="M18" s="328"/>
      <c r="N18" s="329">
        <f t="shared" si="4"/>
        <v>81</v>
      </c>
      <c r="O18" s="328"/>
      <c r="P18" s="328"/>
      <c r="Q18" s="329">
        <f t="shared" si="0"/>
        <v>81</v>
      </c>
      <c r="R18" s="340">
        <f t="shared" si="1"/>
        <v>262</v>
      </c>
    </row>
    <row r="19" spans="1:18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58</v>
      </c>
      <c r="L19" s="330">
        <f>SUM(L11:L18)</f>
        <v>23</v>
      </c>
      <c r="M19" s="330">
        <f>SUM(M11:M18)</f>
        <v>0</v>
      </c>
      <c r="N19" s="329">
        <f t="shared" si="4"/>
        <v>81</v>
      </c>
      <c r="O19" s="330">
        <f>SUM(O11:O18)</f>
        <v>0</v>
      </c>
      <c r="P19" s="330">
        <f>SUM(P11:P18)</f>
        <v>0</v>
      </c>
      <c r="Q19" s="329">
        <f t="shared" si="0"/>
        <v>81</v>
      </c>
      <c r="R19" s="340">
        <f t="shared" si="1"/>
        <v>262</v>
      </c>
    </row>
    <row r="20" spans="1:18">
      <c r="A20" s="341" t="s">
        <v>840</v>
      </c>
      <c r="B20" s="323" t="s">
        <v>546</v>
      </c>
      <c r="C20" s="156" t="s">
        <v>547</v>
      </c>
      <c r="D20" s="703">
        <v>22488</v>
      </c>
      <c r="E20" s="703"/>
      <c r="F20" s="703"/>
      <c r="G20" s="329">
        <f t="shared" si="2"/>
        <v>22488</v>
      </c>
      <c r="H20" s="328">
        <v>539</v>
      </c>
      <c r="I20" s="328"/>
      <c r="J20" s="329">
        <f t="shared" si="3"/>
        <v>23027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23027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703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>
        <v>148</v>
      </c>
      <c r="F26" s="328"/>
      <c r="G26" s="329">
        <f t="shared" si="2"/>
        <v>148</v>
      </c>
      <c r="H26" s="328"/>
      <c r="I26" s="328"/>
      <c r="J26" s="329">
        <f t="shared" si="3"/>
        <v>148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148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148</v>
      </c>
      <c r="F27" s="332">
        <f t="shared" si="5"/>
        <v>0</v>
      </c>
      <c r="G27" s="333">
        <f t="shared" si="2"/>
        <v>148</v>
      </c>
      <c r="H27" s="332">
        <f t="shared" si="5"/>
        <v>0</v>
      </c>
      <c r="I27" s="332">
        <f t="shared" si="5"/>
        <v>0</v>
      </c>
      <c r="J27" s="333">
        <f t="shared" si="3"/>
        <v>148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148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75508</v>
      </c>
      <c r="E29" s="335">
        <f t="shared" ref="E29:P29" si="6">SUM(E30:E33)</f>
        <v>7650</v>
      </c>
      <c r="F29" s="335">
        <f t="shared" si="6"/>
        <v>23797</v>
      </c>
      <c r="G29" s="336">
        <f t="shared" si="2"/>
        <v>59361</v>
      </c>
      <c r="H29" s="335">
        <f t="shared" si="6"/>
        <v>296</v>
      </c>
      <c r="I29" s="335">
        <f t="shared" si="6"/>
        <v>0</v>
      </c>
      <c r="J29" s="336">
        <f t="shared" si="3"/>
        <v>59657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59657</v>
      </c>
    </row>
    <row r="30" spans="1:18">
      <c r="A30" s="339"/>
      <c r="B30" s="321" t="s">
        <v>108</v>
      </c>
      <c r="C30" s="152" t="s">
        <v>563</v>
      </c>
      <c r="D30" s="702">
        <v>75321</v>
      </c>
      <c r="E30" s="702">
        <f>3145+4325</f>
        <v>7470</v>
      </c>
      <c r="F30" s="328">
        <f>12400+3934+6500+950+13</f>
        <v>23797</v>
      </c>
      <c r="G30" s="329">
        <f t="shared" si="2"/>
        <v>58994</v>
      </c>
      <c r="H30" s="328"/>
      <c r="I30" s="328"/>
      <c r="J30" s="329">
        <f t="shared" si="3"/>
        <v>58994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58994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702">
        <v>187</v>
      </c>
      <c r="E33" s="702">
        <v>180</v>
      </c>
      <c r="F33" s="702"/>
      <c r="G33" s="329">
        <f t="shared" si="2"/>
        <v>367</v>
      </c>
      <c r="H33" s="328">
        <f>206+90</f>
        <v>296</v>
      </c>
      <c r="I33" s="328"/>
      <c r="J33" s="329">
        <f t="shared" si="3"/>
        <v>663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663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75508</v>
      </c>
      <c r="E40" s="330">
        <f t="shared" ref="E40:P40" si="10">E29+E34+E39</f>
        <v>7650</v>
      </c>
      <c r="F40" s="330">
        <f t="shared" si="10"/>
        <v>23797</v>
      </c>
      <c r="G40" s="329">
        <f t="shared" si="2"/>
        <v>59361</v>
      </c>
      <c r="H40" s="330">
        <f t="shared" si="10"/>
        <v>296</v>
      </c>
      <c r="I40" s="330">
        <f t="shared" si="10"/>
        <v>0</v>
      </c>
      <c r="J40" s="329">
        <f t="shared" si="3"/>
        <v>59657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59657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98339</v>
      </c>
      <c r="E42" s="349">
        <f>E19+E20+E21+E27+E40+E41</f>
        <v>7798</v>
      </c>
      <c r="F42" s="349">
        <f t="shared" ref="F42:R42" si="11">F19+F20+F21+F27+F40+F41</f>
        <v>23797</v>
      </c>
      <c r="G42" s="349">
        <f t="shared" si="11"/>
        <v>82340</v>
      </c>
      <c r="H42" s="349">
        <f t="shared" si="11"/>
        <v>835</v>
      </c>
      <c r="I42" s="349">
        <f t="shared" si="11"/>
        <v>0</v>
      </c>
      <c r="J42" s="349">
        <f t="shared" si="11"/>
        <v>83175</v>
      </c>
      <c r="K42" s="349">
        <f t="shared" si="11"/>
        <v>58</v>
      </c>
      <c r="L42" s="349">
        <f t="shared" si="11"/>
        <v>23</v>
      </c>
      <c r="M42" s="349">
        <f t="shared" si="11"/>
        <v>0</v>
      </c>
      <c r="N42" s="349">
        <f t="shared" si="11"/>
        <v>81</v>
      </c>
      <c r="O42" s="349">
        <f t="shared" si="11"/>
        <v>0</v>
      </c>
      <c r="P42" s="349">
        <f t="shared" si="11"/>
        <v>0</v>
      </c>
      <c r="Q42" s="349">
        <f t="shared" si="11"/>
        <v>81</v>
      </c>
      <c r="R42" s="350">
        <f t="shared" si="11"/>
        <v>83094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1" t="s">
        <v>977</v>
      </c>
      <c r="C45" s="711">
        <f>pdeReportingDate</f>
        <v>44032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1"/>
      <c r="C46" s="52"/>
      <c r="D46" s="52"/>
      <c r="E46" s="52"/>
      <c r="F46" s="52"/>
      <c r="G46" s="52"/>
      <c r="H46" s="52"/>
      <c r="I46" s="52"/>
    </row>
    <row r="47" spans="1:18">
      <c r="B47" s="692" t="s">
        <v>8</v>
      </c>
      <c r="C47" s="712" t="str">
        <f>authorName</f>
        <v>Васил Деков</v>
      </c>
      <c r="D47" s="712"/>
      <c r="E47" s="712"/>
      <c r="F47" s="712"/>
      <c r="G47" s="712"/>
      <c r="H47" s="712"/>
      <c r="I47" s="712"/>
    </row>
    <row r="48" spans="1:18">
      <c r="B48" s="692"/>
      <c r="C48" s="80"/>
      <c r="D48" s="80"/>
      <c r="E48" s="80"/>
      <c r="F48" s="80"/>
      <c r="G48" s="80"/>
      <c r="H48" s="80"/>
      <c r="I48" s="80"/>
    </row>
    <row r="49" spans="2:9">
      <c r="B49" s="692" t="s">
        <v>920</v>
      </c>
      <c r="C49" s="713"/>
      <c r="D49" s="713"/>
      <c r="E49" s="713"/>
      <c r="F49" s="713"/>
      <c r="G49" s="713"/>
      <c r="H49" s="713"/>
      <c r="I49" s="713"/>
    </row>
    <row r="50" spans="2:9">
      <c r="B50" s="693"/>
      <c r="C50" s="710" t="s">
        <v>979</v>
      </c>
      <c r="D50" s="710"/>
      <c r="E50" s="710"/>
      <c r="F50" s="710"/>
      <c r="G50" s="574"/>
      <c r="H50" s="45"/>
      <c r="I50" s="42"/>
    </row>
    <row r="51" spans="2:9">
      <c r="B51" s="693"/>
      <c r="C51" s="710" t="s">
        <v>979</v>
      </c>
      <c r="D51" s="710"/>
      <c r="E51" s="710"/>
      <c r="F51" s="710"/>
      <c r="G51" s="574"/>
      <c r="H51" s="45"/>
      <c r="I51" s="42"/>
    </row>
    <row r="52" spans="2:9">
      <c r="B52" s="693"/>
      <c r="C52" s="710" t="s">
        <v>979</v>
      </c>
      <c r="D52" s="710"/>
      <c r="E52" s="710"/>
      <c r="F52" s="710"/>
      <c r="G52" s="574"/>
      <c r="H52" s="45"/>
      <c r="I52" s="42"/>
    </row>
    <row r="53" spans="2:9">
      <c r="B53" s="693"/>
      <c r="C53" s="710" t="s">
        <v>979</v>
      </c>
      <c r="D53" s="710"/>
      <c r="E53" s="710"/>
      <c r="F53" s="710"/>
      <c r="G53" s="574"/>
      <c r="H53" s="45"/>
      <c r="I53" s="42"/>
    </row>
    <row r="54" spans="2:9">
      <c r="B54" s="693"/>
      <c r="C54" s="710"/>
      <c r="D54" s="710"/>
      <c r="E54" s="710"/>
      <c r="F54" s="710"/>
      <c r="G54" s="574"/>
      <c r="H54" s="45"/>
      <c r="I54" s="42"/>
    </row>
    <row r="55" spans="2:9">
      <c r="B55" s="693"/>
      <c r="C55" s="710"/>
      <c r="D55" s="710"/>
      <c r="E55" s="710"/>
      <c r="F55" s="710"/>
      <c r="G55" s="574"/>
      <c r="H55" s="45"/>
      <c r="I55" s="42"/>
    </row>
    <row r="56" spans="2:9">
      <c r="B56" s="693"/>
      <c r="C56" s="710"/>
      <c r="D56" s="710"/>
      <c r="E56" s="710"/>
      <c r="F56" s="710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:D17 H20:I21 K20:M21 O20:P21 D23:F26 H23:I26 K23:M26 O23:P26 D20:F21 D30:E30 D32:F33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73" zoomScale="70" zoomScaleNormal="85" zoomScaleSheetLayoutView="70" workbookViewId="0">
      <selection activeCell="D110" sqref="D110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121643011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40" t="s">
        <v>453</v>
      </c>
      <c r="B8" s="742" t="s">
        <v>11</v>
      </c>
      <c r="C8" s="738" t="s">
        <v>587</v>
      </c>
      <c r="D8" s="365" t="s">
        <v>588</v>
      </c>
      <c r="E8" s="366"/>
      <c r="F8" s="127"/>
    </row>
    <row r="9" spans="1:6" s="128" customFormat="1">
      <c r="A9" s="741"/>
      <c r="B9" s="743"/>
      <c r="C9" s="73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15007</v>
      </c>
      <c r="D26" s="362">
        <f>SUM(D27:D29)</f>
        <v>15007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f>78-2+5600-124+37-1</f>
        <v>5588</v>
      </c>
      <c r="D27" s="368">
        <f>78-2+5600-124+37-1</f>
        <v>5588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f>769-17+8866-199</f>
        <v>9419</v>
      </c>
      <c r="D29" s="368">
        <f>769-17+8866-199</f>
        <v>9419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4635</v>
      </c>
      <c r="D30" s="368">
        <v>4635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19652</v>
      </c>
      <c r="D45" s="438">
        <f>D26+D30+D31+D33+D32+D34+D35+D40</f>
        <v>19652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19652</v>
      </c>
      <c r="D46" s="444">
        <f>D45+D23+D21+D11</f>
        <v>19652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0" t="s">
        <v>453</v>
      </c>
      <c r="B50" s="742" t="s">
        <v>11</v>
      </c>
      <c r="C50" s="744" t="s">
        <v>658</v>
      </c>
      <c r="D50" s="365" t="s">
        <v>659</v>
      </c>
      <c r="E50" s="365"/>
      <c r="F50" s="746" t="s">
        <v>660</v>
      </c>
    </row>
    <row r="51" spans="1:6" s="128" customFormat="1" ht="18" customHeight="1">
      <c r="A51" s="741"/>
      <c r="B51" s="743"/>
      <c r="C51" s="745"/>
      <c r="D51" s="130" t="s">
        <v>589</v>
      </c>
      <c r="E51" s="130" t="s">
        <v>590</v>
      </c>
      <c r="F51" s="74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17344</v>
      </c>
      <c r="D54" s="138">
        <f>SUM(D55:D57)</f>
        <v>0</v>
      </c>
      <c r="E54" s="136">
        <f>C54-D54</f>
        <v>17344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>
        <v>17344</v>
      </c>
      <c r="D55" s="197"/>
      <c r="E55" s="136">
        <f>C55-D55</f>
        <v>17344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17603</v>
      </c>
      <c r="D65" s="197"/>
      <c r="E65" s="136">
        <f t="shared" si="1"/>
        <v>17603</v>
      </c>
      <c r="F65" s="196"/>
    </row>
    <row r="66" spans="1:6">
      <c r="A66" s="370" t="s">
        <v>682</v>
      </c>
      <c r="B66" s="135" t="s">
        <v>683</v>
      </c>
      <c r="C66" s="197">
        <v>128</v>
      </c>
      <c r="D66" s="197"/>
      <c r="E66" s="136">
        <f t="shared" si="1"/>
        <v>128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35075</v>
      </c>
      <c r="D68" s="435">
        <f>D54+D58+D63+D64+D65+D66</f>
        <v>0</v>
      </c>
      <c r="E68" s="436">
        <f t="shared" si="1"/>
        <v>35075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1663</v>
      </c>
      <c r="D70" s="197"/>
      <c r="E70" s="136">
        <f t="shared" si="1"/>
        <v>1663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7936</v>
      </c>
      <c r="D73" s="137">
        <f>SUM(D74:D76)</f>
        <v>7936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7936</v>
      </c>
      <c r="D76" s="197">
        <v>7936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5965</v>
      </c>
      <c r="D82" s="138">
        <f>SUM(D83:D86)</f>
        <v>5965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>
        <v>5965</v>
      </c>
      <c r="D84" s="197">
        <v>5965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740</v>
      </c>
      <c r="D87" s="134">
        <f>SUM(D88:D92)+D96</f>
        <v>740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368</v>
      </c>
      <c r="D89" s="197">
        <v>368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366</v>
      </c>
      <c r="D92" s="138">
        <f>SUM(D93:D95)</f>
        <v>366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98</v>
      </c>
      <c r="D93" s="197">
        <v>98</v>
      </c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268</v>
      </c>
      <c r="D95" s="197">
        <v>268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39</v>
      </c>
      <c r="D97" s="197">
        <v>39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14680</v>
      </c>
      <c r="D98" s="433">
        <f>D87+D82+D77+D73+D97</f>
        <v>14680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51418</v>
      </c>
      <c r="D99" s="427">
        <f>D98+D70+D68</f>
        <v>14680</v>
      </c>
      <c r="E99" s="427">
        <f>E98+E70+E68</f>
        <v>36738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1" t="s">
        <v>977</v>
      </c>
      <c r="B111" s="711">
        <f>pdeReportingDate</f>
        <v>44032</v>
      </c>
      <c r="C111" s="711"/>
      <c r="D111" s="711"/>
      <c r="E111" s="711"/>
      <c r="F111" s="711"/>
      <c r="G111" s="52"/>
      <c r="H111" s="52"/>
    </row>
    <row r="112" spans="1:27">
      <c r="A112" s="691"/>
      <c r="B112" s="711"/>
      <c r="C112" s="711"/>
      <c r="D112" s="711"/>
      <c r="E112" s="711"/>
      <c r="F112" s="711"/>
      <c r="G112" s="52"/>
      <c r="H112" s="52"/>
    </row>
    <row r="113" spans="1:8">
      <c r="A113" s="692" t="s">
        <v>8</v>
      </c>
      <c r="B113" s="712" t="str">
        <f>authorName</f>
        <v>Васил Деков</v>
      </c>
      <c r="C113" s="712"/>
      <c r="D113" s="712"/>
      <c r="E113" s="712"/>
      <c r="F113" s="712"/>
      <c r="G113" s="80"/>
      <c r="H113" s="80"/>
    </row>
    <row r="114" spans="1:8">
      <c r="A114" s="692"/>
      <c r="B114" s="712"/>
      <c r="C114" s="712"/>
      <c r="D114" s="712"/>
      <c r="E114" s="712"/>
      <c r="F114" s="712"/>
      <c r="G114" s="80"/>
      <c r="H114" s="80"/>
    </row>
    <row r="115" spans="1:8">
      <c r="A115" s="692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3"/>
      <c r="B116" s="710" t="s">
        <v>979</v>
      </c>
      <c r="C116" s="710"/>
      <c r="D116" s="710"/>
      <c r="E116" s="710"/>
      <c r="F116" s="710"/>
      <c r="G116" s="693"/>
      <c r="H116" s="693"/>
    </row>
    <row r="117" spans="1:8" ht="15.75" customHeight="1">
      <c r="A117" s="693"/>
      <c r="B117" s="710" t="s">
        <v>979</v>
      </c>
      <c r="C117" s="710"/>
      <c r="D117" s="710"/>
      <c r="E117" s="710"/>
      <c r="F117" s="710"/>
      <c r="G117" s="693"/>
      <c r="H117" s="693"/>
    </row>
    <row r="118" spans="1:8" ht="15.75" customHeight="1">
      <c r="A118" s="693"/>
      <c r="B118" s="710" t="s">
        <v>979</v>
      </c>
      <c r="C118" s="710"/>
      <c r="D118" s="710"/>
      <c r="E118" s="710"/>
      <c r="F118" s="710"/>
      <c r="G118" s="693"/>
      <c r="H118" s="693"/>
    </row>
    <row r="119" spans="1:8" ht="15.75" customHeight="1">
      <c r="A119" s="693"/>
      <c r="B119" s="710" t="s">
        <v>979</v>
      </c>
      <c r="C119" s="710"/>
      <c r="D119" s="710"/>
      <c r="E119" s="710"/>
      <c r="F119" s="710"/>
      <c r="G119" s="693"/>
      <c r="H119" s="693"/>
    </row>
    <row r="120" spans="1:8">
      <c r="A120" s="693"/>
      <c r="B120" s="710"/>
      <c r="C120" s="710"/>
      <c r="D120" s="710"/>
      <c r="E120" s="710"/>
      <c r="F120" s="710"/>
      <c r="G120" s="693"/>
      <c r="H120" s="693"/>
    </row>
    <row r="121" spans="1:8">
      <c r="A121" s="693"/>
      <c r="B121" s="710"/>
      <c r="C121" s="710"/>
      <c r="D121" s="710"/>
      <c r="E121" s="710"/>
      <c r="F121" s="710"/>
      <c r="G121" s="693"/>
      <c r="H121" s="693"/>
    </row>
    <row r="122" spans="1:8">
      <c r="A122" s="693"/>
      <c r="B122" s="710"/>
      <c r="C122" s="710"/>
      <c r="D122" s="710"/>
      <c r="E122" s="710"/>
      <c r="F122" s="710"/>
      <c r="G122" s="693"/>
      <c r="H122" s="69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zoomScale="85" zoomScaleNormal="85" zoomScaleSheetLayoutView="85" workbookViewId="0">
      <selection activeCell="E6" sqref="E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50" t="s">
        <v>453</v>
      </c>
      <c r="B8" s="75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51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22" s="112" customFormat="1" ht="24" customHeight="1">
      <c r="A10" s="751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f>11410311+40511+180000</f>
        <v>11630822</v>
      </c>
      <c r="D13" s="449"/>
      <c r="E13" s="449"/>
      <c r="F13" s="449">
        <f>22195+317</f>
        <v>22512</v>
      </c>
      <c r="G13" s="449">
        <v>206</v>
      </c>
      <c r="H13" s="449"/>
      <c r="I13" s="450">
        <f>F13+G13-H13</f>
        <v>22718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f>1740158-10250</f>
        <v>1729908</v>
      </c>
      <c r="D17" s="449"/>
      <c r="E17" s="449"/>
      <c r="F17" s="449">
        <v>36939</v>
      </c>
      <c r="G17" s="449"/>
      <c r="H17" s="449"/>
      <c r="I17" s="450">
        <f t="shared" si="0"/>
        <v>36939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13360730</v>
      </c>
      <c r="D18" s="456">
        <f t="shared" si="1"/>
        <v>0</v>
      </c>
      <c r="E18" s="456">
        <f t="shared" si="1"/>
        <v>0</v>
      </c>
      <c r="F18" s="456">
        <f t="shared" si="1"/>
        <v>59451</v>
      </c>
      <c r="G18" s="456">
        <f t="shared" si="1"/>
        <v>206</v>
      </c>
      <c r="H18" s="456">
        <f t="shared" si="1"/>
        <v>0</v>
      </c>
      <c r="I18" s="457">
        <f t="shared" si="0"/>
        <v>59657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f>35470+450+1604+38250-38250</f>
        <v>37524</v>
      </c>
      <c r="D20" s="449"/>
      <c r="E20" s="449"/>
      <c r="F20" s="449">
        <f>5137+6+60+300-60-300</f>
        <v>5143</v>
      </c>
      <c r="G20" s="449">
        <v>175</v>
      </c>
      <c r="H20" s="449"/>
      <c r="I20" s="450">
        <f t="shared" si="0"/>
        <v>5318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37524</v>
      </c>
      <c r="D27" s="456">
        <f t="shared" si="2"/>
        <v>0</v>
      </c>
      <c r="E27" s="456">
        <f t="shared" si="2"/>
        <v>0</v>
      </c>
      <c r="F27" s="456">
        <f t="shared" si="2"/>
        <v>5143</v>
      </c>
      <c r="G27" s="456">
        <f t="shared" si="2"/>
        <v>175</v>
      </c>
      <c r="H27" s="456">
        <f t="shared" si="2"/>
        <v>0</v>
      </c>
      <c r="I27" s="457">
        <f t="shared" si="0"/>
        <v>5318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1" t="s">
        <v>977</v>
      </c>
      <c r="B31" s="711">
        <f>pdeReportingDate</f>
        <v>44032</v>
      </c>
      <c r="C31" s="711"/>
      <c r="D31" s="711"/>
      <c r="E31" s="711"/>
      <c r="F31" s="711"/>
      <c r="G31" s="124"/>
      <c r="H31" s="124"/>
      <c r="I31" s="124"/>
    </row>
    <row r="32" spans="1:16" s="116" customFormat="1">
      <c r="A32" s="691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>
      <c r="A33" s="692" t="s">
        <v>8</v>
      </c>
      <c r="B33" s="712" t="str">
        <f>authorName</f>
        <v>Васил Деков</v>
      </c>
      <c r="C33" s="712"/>
      <c r="D33" s="712"/>
      <c r="E33" s="712"/>
      <c r="F33" s="712"/>
      <c r="G33" s="124"/>
      <c r="H33" s="124"/>
      <c r="I33" s="124"/>
    </row>
    <row r="34" spans="1:9" s="116" customFormat="1">
      <c r="A34" s="692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>
      <c r="A35" s="692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3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3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3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3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>
      <c r="A40" s="693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>
      <c r="A41" s="693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>
      <c r="A42" s="693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35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'Справка 8'!Print_Area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n.stoilov</cp:lastModifiedBy>
  <cp:lastPrinted>2020-07-30T08:47:18Z</cp:lastPrinted>
  <dcterms:created xsi:type="dcterms:W3CDTF">2006-09-16T00:00:00Z</dcterms:created>
  <dcterms:modified xsi:type="dcterms:W3CDTF">2020-07-30T09:14:19Z</dcterms:modified>
</cp:coreProperties>
</file>