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16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<sst xmlns="http://schemas.openxmlformats.org/spreadsheetml/2006/main" count="4324" uniqueCount="1004">
  <si>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</si>
  <si>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</si>
  <si>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</si>
  <si>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</si>
  <si>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</si>
  <si>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</si>
  <si>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</si>
  <si>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</si>
  <si>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</si>
  <si>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</si>
  <si>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</si>
  <si>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</si>
  <si>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</si>
  <si>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</si>
  <si>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</si>
  <si>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</si>
  <si>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</si>
  <si>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</si>
  <si>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</si>
  <si>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</si>
  <si>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</si>
  <si>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</si>
  <si>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</si>
  <si>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</si>
  <si>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</si>
  <si>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</si>
  <si>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</si>
  <si>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</si>
  <si>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</si>
  <si>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</si>
  <si>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</si>
  <si>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</si>
  <si>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</si>
  <si>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</si>
  <si>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</si>
  <si>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</si>
  <si>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</si>
  <si>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</si>
  <si>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</si>
  <si>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</si>
  <si>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</si>
  <si>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</si>
  <si>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</si>
  <si>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</si>
  <si>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</si>
  <si>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</si>
  <si>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</si>
  <si>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</si>
  <si>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</si>
  <si>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</si>
  <si>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</si>
  <si>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</si>
  <si>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</si>
  <si>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</si>
  <si>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</si>
  <si>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</si>
  <si>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</si>
  <si>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</si>
  <si>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</si>
  <si>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</si>
  <si>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</si>
  <si>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</si>
  <si>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</si>
  <si>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</si>
  <si>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</si>
  <si>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</si>
  <si>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</si>
  <si>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</si>
  <si>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</si>
  <si>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</si>
  <si>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</si>
  <si>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</si>
  <si>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</si>
  <si>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</si>
  <si>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</si>
  <si>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</si>
  <si>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</si>
  <si>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</si>
  <si>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</si>
  <si>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</si>
  <si>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</si>
  <si>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</si>
  <si>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</si>
  <si>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</si>
  <si>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</si>
  <si>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</si>
  <si>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</si>
  <si>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</si>
  <si>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</si>
  <si>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</si>
  <si>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</si>
  <si>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</si>
  <si>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</si>
  <si>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</si>
  <si>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</si>
  <si>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</si>
  <si>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</si>
  <si>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</si>
  <si>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</si>
  <si>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</si>
  <si>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</si>
  <si>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</si>
  <si>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</si>
  <si>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</si>
  <si>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</si>
  <si>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</si>
  <si>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</si>
  <si>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</si>
  <si>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</si>
  <si>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</si>
  <si>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</si>
  <si>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</si>
  <si>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</si>
  <si>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</si>
  <si>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</si>
  <si>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</si>
  <si>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</si>
  <si>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</si>
  <si>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</si>
  <si>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</si>
  <si>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</si>
  <si>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</si>
  <si>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</si>
  <si>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</si>
  <si>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</si>
  <si>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</si>
  <si>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</si>
  <si>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</si>
  <si>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</si>
  <si>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</si>
  <si>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</si>
  <si>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</si>
  <si>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</si>
  <si>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</si>
  <si>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</si>
  <si>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</si>
  <si>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</si>
  <si>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</si>
  <si>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</si>
  <si>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</si>
  <si>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</si>
  <si>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</si>
  <si>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</si>
  <si>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</si>
  <si>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</si>
  <si>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</si>
  <si>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</si>
  <si>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</si>
  <si>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</si>
  <si>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</si>
  <si>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</si>
  <si>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</si>
  <si>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</si>
  <si>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</si>
  <si>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</si>
  <si>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</si>
  <si>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</si>
  <si>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</si>
  <si>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</si>
  <si>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</si>
  <si>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</si>
  <si>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</si>
  <si>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</si>
  <si>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</si>
  <si>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</si>
  <si>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</si>
  <si>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</si>
  <si>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</si>
  <si>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</si>
  <si>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</si>
  <si>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</si>
  <si>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</si>
  <si>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</si>
  <si>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</si>
  <si>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</si>
  <si>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</si>
  <si>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</si>
  <si>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</si>
  <si>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</si>
  <si>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</si>
  <si>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</si>
  <si>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</si>
  <si>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</si>
  <si>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</si>
  <si>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</si>
  <si>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</si>
  <si>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</si>
  <si>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</si>
  <si>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</si>
  <si>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</si>
  <si>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</si>
  <si>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</si>
  <si>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</si>
  <si>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</si>
  <si>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</si>
  <si>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</si>
  <si>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</si>
  <si>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</si>
  <si>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</si>
  <si>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</si>
  <si>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</si>
  <si>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</si>
  <si>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</si>
  <si>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</si>
  <si>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</si>
  <si>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</si>
  <si>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</si>
  <si>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</si>
  <si>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</si>
  <si>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</si>
  <si>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</si>
  <si>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</si>
  <si>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</si>
  <si>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</si>
  <si>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</si>
  <si>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</si>
  <si>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</si>
  <si>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</si>
  <si>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</si>
  <si>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</si>
  <si>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</si>
  <si>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</si>
  <si>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</si>
  <si>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</si>
  <si>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</si>
  <si>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</si>
  <si>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</si>
  <si>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</si>
  <si>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</si>
  <si>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</si>
  <si>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</si>
  <si>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</si>
  <si>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</si>
  <si>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</si>
  <si>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</si>
  <si>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</si>
  <si>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</si>
  <si>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</si>
  <si>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</si>
  <si>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</si>
  <si>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</si>
  <si>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</si>
  <si>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</si>
  <si>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</si>
  <si>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</si>
  <si>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</si>
  <si>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</si>
  <si>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</si>
  <si>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</si>
  <si>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</si>
  <si>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</si>
  <si>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</si>
  <si>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</si>
  <si>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</si>
  <si>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</si>
  <si>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</si>
  <si>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</si>
  <si>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</si>
  <si>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</si>
  <si>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</si>
  <si>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</si>
  <si>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</si>
  <si>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</si>
  <si>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</si>
  <si>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</si>
  <si>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</si>
  <si>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</si>
  <si>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</si>
  <si>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</si>
  <si>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</si>
  <si>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</si>
  <si>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</si>
  <si>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</si>
  <si>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</si>
  <si>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</si>
  <si>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</si>
  <si>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</si>
  <si>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</si>
  <si>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</si>
  <si>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</si>
  <si>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</si>
  <si>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</si>
  <si>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</si>
  <si>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</si>
  <si>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</si>
  <si>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</si>
  <si>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</si>
  <si>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</si>
  <si>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</si>
  <si>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</si>
  <si>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</si>
  <si>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</si>
  <si>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</si>
  <si>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</si>
  <si>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</si>
  <si>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</si>
  <si>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</si>
  <si>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</si>
  <si>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</si>
  <si>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</si>
  <si>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</si>
  <si>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</si>
  <si>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</si>
  <si>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</si>
  <si>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</si>
  <si>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</si>
  <si>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</si>
  <si>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</si>
  <si>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</si>
  <si>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</si>
  <si>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</si>
  <si>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</si>
  <si>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</si>
  <si>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</si>
  <si>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</si>
  <si>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</si>
  <si>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</si>
  <si>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</si>
  <si>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</si>
  <si>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</si>
  <si>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</si>
  <si>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</si>
  <si>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</si>
  <si>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</si>
  <si>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</si>
  <si>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</si>
  <si>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</si>
  <si>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</si>
  <si>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</si>
  <si>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</si>
  <si>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</si>
  <si>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</si>
  <si>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</si>
  <si>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</si>
  <si>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</si>
  <si>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</si>
  <si>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</si>
  <si>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</si>
  <si>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</si>
  <si>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</si>
  <si>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</si>
  <si>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</si>
  <si>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</si>
  <si>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</si>
  <si>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</si>
  <si>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</si>
  <si>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</si>
  <si>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</si>
  <si>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</si>
  <si>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</si>
  <si>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</si>
  <si>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</si>
  <si>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</si>
  <si>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</si>
  <si>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</si>
  <si>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</si>
  <si>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</si>
  <si>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</si>
  <si>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</si>
  <si>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</si>
  <si>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</si>
  <si>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</si>
  <si>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</si>
  <si>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</si>
  <si>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</si>
  <si>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</si>
  <si>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</si>
  <si>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</si>
  <si>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</si>
  <si>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</si>
  <si>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</si>
  <si>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</si>
  <si>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</si>
  <si>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</si>
  <si>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</si>
  <si>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</si>
  <si>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</si>
  <si>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</si>
  <si>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</si>
  <si>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</si>
  <si>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</si>
  <si>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</si>
  <si>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</si>
  <si>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</si>
  <si>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</si>
  <si>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</si>
  <si>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</si>
  <si>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</si>
  <si>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</si>
  <si>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</si>
  <si>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</si>
  <si>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</si>
  <si>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</si>
  <si>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</si>
  <si>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</si>
  <si>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</si>
  <si>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</si>
  <si>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</si>
  <si>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</si>
  <si>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</si>
  <si>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</si>
  <si>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</si>
  <si>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</si>
  <si>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</si>
  <si>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</si>
  <si>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</si>
  <si>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</si>
  <si>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</si>
  <si>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</si>
  <si>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</si>
  <si>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</si>
  <si>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</si>
  <si>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</si>
  <si>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</si>
  <si>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</si>
  <si>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</si>
  <si>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</si>
  <si>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</si>
  <si>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</si>
  <si>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</si>
  <si>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</si>
  <si>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</si>
  <si>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</si>
  <si>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</si>
  <si>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</si>
  <si>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</si>
  <si>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</si>
  <si>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</si>
  <si>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</si>
  <si>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</si>
  <si>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</si>
  <si>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</si>
  <si>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</si>
  <si>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</si>
  <si>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</si>
  <si>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</si>
  <si>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</si>
  <si>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</si>
  <si>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</si>
  <si>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</si>
  <si>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</si>
  <si>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</si>
  <si>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</si>
  <si>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</si>
  <si>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</si>
  <si>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</si>
  <si>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</si>
  <si>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</si>
  <si>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</si>
  <si>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</si>
  <si>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</si>
  <si>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</si>
  <si>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</si>
  <si>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</si>
  <si>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</si>
  <si>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</si>
  <si>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</si>
  <si>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</si>
  <si>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</si>
  <si>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</si>
  <si>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</si>
  <si>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</si>
  <si>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</si>
  <si>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</si>
  <si>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</si>
  <si>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</si>
  <si>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</si>
  <si>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</si>
  <si>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</si>
  <si>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</si>
  <si>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</si>
  <si>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</si>
  <si>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</si>
  <si>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</si>
  <si>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</si>
  <si>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</si>
  <si>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</si>
  <si>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</si>
  <si>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</si>
  <si>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</si>
  <si>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</si>
  <si>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</si>
  <si>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</si>
  <si>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</si>
  <si>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</si>
  <si>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</si>
  <si>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</si>
  <si>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</si>
  <si>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</si>
  <si>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</si>
  <si>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</si>
  <si>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</si>
  <si>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</si>
  <si>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</si>
  <si>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</si>
  <si>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</si>
  <si>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</si>
  <si>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</si>
  <si>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</si>
  <si>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</si>
  <si>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</si>
  <si>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</si>
  <si>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</si>
  <si>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</si>
  <si>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</si>
  <si>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</si>
  <si>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</si>
  <si>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</si>
  <si>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</si>
  <si>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</si>
  <si>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</si>
  <si>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</si>
  <si>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</si>
  <si>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</si>
  <si>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</si>
  <si>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</si>
  <si>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</si>
  <si>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</si>
  <si>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</si>
  <si>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</si>
  <si>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</si>
  <si>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</si>
  <si>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</si>
  <si>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</si>
  <si>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</si>
  <si>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</si>
  <si>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</si>
  <si>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</si>
  <si>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</si>
  <si>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</si>
  <si>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</si>
  <si>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</si>
  <si>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</si>
  <si>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</si>
  <si>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</si>
  <si>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</si>
  <si>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</si>
  <si>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</si>
  <si>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</si>
  <si>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</si>
  <si>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</si>
  <si>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</si>
  <si>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</si>
  <si>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</si>
  <si>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</si>
  <si>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</si>
  <si>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</si>
  <si>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</si>
  <si>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</si>
  <si>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</si>
  <si>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</si>
  <si>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</si>
  <si>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</si>
  <si>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</si>
  <si>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</si>
  <si>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</si>
  <si>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</si>
  <si>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</si>
  <si>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</si>
  <si>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</si>
  <si>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</si>
  <si>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</si>
  <si>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</si>
  <si>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</si>
  <si>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</si>
  <si>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</si>
  <si>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</si>
  <si>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</si>
  <si>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</si>
  <si>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</si>
  <si>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</si>
  <si>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</si>
  <si>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</si>
  <si>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</si>
  <si>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</si>
  <si>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</si>
  <si>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</si>
  <si>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</si>
  <si>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</si>
  <si>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</si>
  <si>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</si>
  <si>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</si>
  <si>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</si>
  <si>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</si>
  <si>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</si>
  <si>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</si>
  <si>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</si>
  <si>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</si>
  <si>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</si>
  <si>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</si>
  <si>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</si>
  <si>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</si>
  <si>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</si>
  <si>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</si>
  <si>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</si>
  <si>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</si>
  <si>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</si>
  <si>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</si>
  <si>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</si>
  <si>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</si>
  <si>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</si>
  <si>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</si>
  <si>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</si>
  <si>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</si>
  <si>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</si>
  <si>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</si>
  <si>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</si>
  <si>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</si>
  <si>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</si>
  <si>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</si>
  <si>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</si>
  <si>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</si>
  <si>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</si>
  <si>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</si>
  <si>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</si>
  <si>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</si>
  <si>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</si>
  <si>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</si>
  <si>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</si>
  <si>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</si>
  <si>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</si>
  <si>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</si>
  <si>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</si>
  <si>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</si>
  <si>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</si>
  <si>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</si>
  <si>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</si>
  <si>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</si>
  <si>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</si>
  <si>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</si>
  <si>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</si>
  <si>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</si>
  <si>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</si>
  <si>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</si>
  <si>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</si>
  <si>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</si>
  <si>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</si>
  <si>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</si>
  <si>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</si>
  <si>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</si>
  <si>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</si>
  <si>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</si>
  <si>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</si>
  <si>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</si>
  <si>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</si>
  <si>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</si>
  <si>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</si>
  <si>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</si>
  <si>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</si>
  <si>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</si>
  <si>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</si>
  <si>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</si>
  <si>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</si>
  <si>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</si>
  <si>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</si>
  <si>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</si>
  <si>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</si>
  <si>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</si>
  <si>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</si>
  <si>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</si>
  <si>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</si>
  <si>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</si>
  <si>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</si>
  <si>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</si>
  <si>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</si>
  <si>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</si>
  <si>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</si>
  <si>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</si>
  <si>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</si>
  <si>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</si>
  <si>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</si>
  <si>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</si>
  <si>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</si>
  <si>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</si>
  <si>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</si>
  <si>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</si>
  <si>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</si>
  <si>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</si>
  <si>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</si>
  <si>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</si>
  <si>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</si>
  <si>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</si>
  <si>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</si>
  <si>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</si>
  <si>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</si>
  <si>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</si>
  <si>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</si>
  <si>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</si>
  <si>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</si>
  <si>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</si>
  <si>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</si>
  <si>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</si>
  <si>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</si>
  <si>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</si>
  <si>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</si>
  <si>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</si>
  <si>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</si>
  <si>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</si>
  <si>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</si>
  <si>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</si>
  <si>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</si>
  <si>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</si>
  <si>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</si>
  <si>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</si>
  <si>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</si>
  <si>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</si>
  <si>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</si>
  <si>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</si>
  <si>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</si>
  <si>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</si>
  <si>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</si>
  <si>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</si>
  <si>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</si>
  <si>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</si>
  <si>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</si>
  <si>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</si>
  <si>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</si>
  <si>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</si>
  <si>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</si>
  <si>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</si>
  <si>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</si>
  <si>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</si>
  <si>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</si>
  <si>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</si>
  <si>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</si>
  <si>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</si>
  <si>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</si>
  <si>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</si>
  <si>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</si>
  <si>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</si>
  <si>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</si>
  <si>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</si>
  <si>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</si>
  <si>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</si>
  <si>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</si>
  <si>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</si>
  <si>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</si>
  <si>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</si>
  <si>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</si>
  <si>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</si>
  <si>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</si>
  <si>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</si>
  <si>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</si>
  <si>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</si>
  <si>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</si>
  <si>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</si>
  <si>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</si>
  <si>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</si>
  <si>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</si>
  <si>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</si>
  <si>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</si>
  <si>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</si>
  <si>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</si>
  <si>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</si>
  <si>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</si>
  <si>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</si>
  <si>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</si>
  <si>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</si>
  <si>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</si>
  <si>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</si>
  <si>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</si>
  <si>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</si>
  <si>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</si>
  <si>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</si>
  <si>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</si>
  <si>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</si>
  <si>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</si>
  <si>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</si>
  <si>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</si>
  <si>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</si>
  <si>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</si>
  <si>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</si>
  <si>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</si>
  <si>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</si>
  <si>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</si>
  <si>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</si>
  <si>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</si>
  <si>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</si>
  <si>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</si>
  <si>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</si>
  <si>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</si>
  <si>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</si>
  <si>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</si>
  <si>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</si>
  <si>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</si>
  <si>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</si>
  <si>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</si>
  <si>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</si>
  <si>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</si>
  <si>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</si>
  <si>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</si>
  <si>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</si>
  <si>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</si>
  <si>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</si>
  <si>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</si>
  <si>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</si>
  <si>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</si>
  <si>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</si>
  <si>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</si>
  <si>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</si>
  <si>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</si>
  <si>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</si>
  <si>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</si>
  <si>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</si>
  <si>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</si>
  <si>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</si>
  <si>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</si>
  <si>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</si>
  <si>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</si>
  <si>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</si>
  <si>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</si>
  <si>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</si>
  <si>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</si>
  <si>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</si>
  <si>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</si>
  <si>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</si>
  <si>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</si>
  <si>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</si>
  <si>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</si>
  <si>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</si>
  <si>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</si>
  <si>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</si>
  <si>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</si>
  <si>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</si>
  <si>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</si>
  <si>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</si>
  <si>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</si>
  <si>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</si>
  <si>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</si>
  <si>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</si>
  <si>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</si>
  <si>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</si>
  <si>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</si>
  <si>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</si>
  <si>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</si>
  <si>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</si>
  <si>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</si>
  <si>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</si>
  <si>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</si>
  <si>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</si>
  <si>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</si>
  <si>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</si>
  <si>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</si>
  <si>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</si>
  <si>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</si>
  <si>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</si>
  <si>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</si>
  <si>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</si>
  <si>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</si>
  <si>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</si>
  <si>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</si>
  <si>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</si>
  <si>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</si>
  <si>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</si>
  <si>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</si>
  <si>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</si>
  <si>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</si>
  <si>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</si>
  <si>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</si>
  <si>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</si>
  <si>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</si>
  <si>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</si>
  <si>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</si>
  <si>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</si>
  <si>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</si>
  <si>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</si>
  <si>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</si>
  <si>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</si>
  <si>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</si>
  <si>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</si>
  <si>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</si>
  <si>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</si>
  <si>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</si>
  <si>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</si>
  <si>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</si>
  <si>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</si>
  <si>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</si>
  <si>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</si>
  <si>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</si>
  <si>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</si>
  <si>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</si>
  <si>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</si>
  <si>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</si>
  <si>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</si>
  <si>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</si>
  <si>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</si>
  <si>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</si>
  <si>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</si>
  <si>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</si>
  <si>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</si>
  <si>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</si>
  <si>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</si>
  <si>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</si>
  <si>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</si>
  <si>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</si>
  <si>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</si>
  <si>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</si>
  <si>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</si>
  <si>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</si>
  <si>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</si>
  <si>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</si>
  <si>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</si>
  <si>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</si>
  <si>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</si>
  <si>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</si>
  <si>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</si>
  <si>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</si>
  <si>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</si>
  <si>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</si>
  <si>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</si>
  <si>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</si>
  <si>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</si>
  <si>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</si>
  <si>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</si>
  <si>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</si>
  <si>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</si>
  <si>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</si>
  <si>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</si>
  <si>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</si>
  <si>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</si>
  <si>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</si>
  <si>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</si>
  <si>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</si>
  <si>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</si>
  <si>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</si>
  <si>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</si>
  <si>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</si>
  <si>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</si>
  <si>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</si>
  <si>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</si>
  <si>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</si>
  <si>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</si>
  <si>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</si>
  <si>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</si>
  <si>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</si>
  <si>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</si>
  <si>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</si>
  <si>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</si>
  <si>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</si>
  <si>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</si>
  <si>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</si>
  <si>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</si>
  <si>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</si>
  <si>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</si>
  <si>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</si>
  <si>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</si>
  <si>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</si>
  <si>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</si>
  <si>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</si>
  <si>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</si>
  <si>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</si>
  <si>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</si>
  <si>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</si>
  <si>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</si>
  <si>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</si>
  <si>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</si>
  <si>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</si>
  <si>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</si>
  <si>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</si>
  <si>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</si>
  <si>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</si>
  <si>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</si>
  <si>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</si>
  <si>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</si>
  <si>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</si>
  <si>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</si>
  <si>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</si>
  <si>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</si>
  <si>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</si>
  <si>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</si>
  <si>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</si>
  <si>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</si>
  <si>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</si>
  <si>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</si>
  <si>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</si>
  <si>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</si>
  <si>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</si>
  <si>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</si>
  <si>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</si>
  <si>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</si>
  <si>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</si>
  <si>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</si>
  <si>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</si>
  <si>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</si>
  <si>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</si>
  <si>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</si>
  <si>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</si>
  <si>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</si>
  <si>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</si>
  <si>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</si>
  <si>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</si>
  <si>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</si>
  <si>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</si>
  <si>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Спас Веселинов Пещерски</t>
  </si>
  <si>
    <t>Съставител</t>
  </si>
  <si>
    <t>1. АВС Финанс АД</t>
  </si>
  <si>
    <t>2. Родна Земя Холдинг АД</t>
  </si>
  <si>
    <t>3. Химснаб България АД</t>
  </si>
  <si>
    <t>4. Други</t>
  </si>
  <si>
    <t xml:space="preserve">1.  Орел Разград АД </t>
  </si>
  <si>
    <t xml:space="preserve">гр.СОФИЯ ул. Георги Раковски № 132, вх. А, ет. 1, офис  3 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</si>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</sst>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6" fillId="26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4" borderId="14" xfId="64" applyNumberFormat="1" applyFont="1" applyFill="1" applyBorder="1" applyAlignment="1" applyProtection="1">
      <alignment vertical="center" wrapText="1"/>
      <protection locked="0"/>
    </xf>
    <xf numFmtId="1" fontId="32" fillId="4" borderId="14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44035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Спас Веселинов Пещерски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44035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1000</v>
      </c>
    </row>
    <row r="20" spans="1:2" ht="15">
      <c r="A20" s="7" t="s">
        <v>5</v>
      </c>
      <c r="B20" s="577" t="s">
        <v>1000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1001</v>
      </c>
    </row>
    <row r="24" spans="1:2" ht="15">
      <c r="A24" s="10" t="s">
        <v>918</v>
      </c>
      <c r="B24" s="689" t="s">
        <v>1002</v>
      </c>
    </row>
    <row r="25" spans="1:2" ht="15">
      <c r="A25" s="7" t="s">
        <v>921</v>
      </c>
      <c r="B25" s="690" t="s">
        <v>1003</v>
      </c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62249</v>
      </c>
      <c r="D6" s="674">
        <f aca="true" t="shared" si="0" ref="D6:D15">C6-E6</f>
        <v>0</v>
      </c>
      <c r="E6" s="673">
        <f>'1-Баланс'!G95</f>
        <v>62249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24641</v>
      </c>
      <c r="D7" s="674">
        <f t="shared" si="0"/>
        <v>23905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360</v>
      </c>
      <c r="D8" s="674">
        <f t="shared" si="0"/>
        <v>0</v>
      </c>
      <c r="E8" s="673">
        <f>ABS('2-Отчет за доходите'!C44)-ABS('2-Отчет за доходите'!G44)</f>
        <v>360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4544</v>
      </c>
      <c r="D9" s="674">
        <f t="shared" si="0"/>
        <v>0</v>
      </c>
      <c r="E9" s="673">
        <f>'3-Отчет за паричния поток'!C45</f>
        <v>4544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4581</v>
      </c>
      <c r="D10" s="674">
        <f t="shared" si="0"/>
        <v>0</v>
      </c>
      <c r="E10" s="673">
        <f>'3-Отчет за паричния поток'!C46</f>
        <v>4581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24641</v>
      </c>
      <c r="D11" s="674">
        <f t="shared" si="0"/>
        <v>0</v>
      </c>
      <c r="E11" s="673">
        <f>'4-Отчет за собствения капитал'!L34</f>
        <v>24641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2787</v>
      </c>
      <c r="D12" s="674">
        <f t="shared" si="0"/>
        <v>0</v>
      </c>
      <c r="E12" s="673">
        <f>'Справка 5'!C27+'Справка 5'!C97</f>
        <v>2787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2659</v>
      </c>
      <c r="D15" s="674">
        <f t="shared" si="0"/>
        <v>0</v>
      </c>
      <c r="E15" s="673">
        <f>'Справка 5'!C148+'Справка 5'!C78</f>
        <v>2659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0.231809401159047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0.014609796680329532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0.009572431397574984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0.0057832254333402945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1.073401437760121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1.830412090052193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1.8244527537586663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0.3639479629196853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0.1784295396120589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0.1558923910861273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0.024948191938826327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0.32628844839371157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1.5262367598717583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0.6041542836029494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2011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0.08161194756706303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0.3544236869933028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18.701143709597215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9809</v>
      </c>
    </row>
    <row r="13" spans="1:8" ht="1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5446</v>
      </c>
    </row>
    <row r="23" spans="1:8" ht="1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2787</v>
      </c>
    </row>
    <row r="24" spans="1:8" ht="1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2659</v>
      </c>
    </row>
    <row r="27" spans="1:8" ht="1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5446</v>
      </c>
    </row>
    <row r="34" spans="1:8" ht="1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15255</v>
      </c>
    </row>
    <row r="42" spans="1:8" ht="1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2777</v>
      </c>
    </row>
    <row r="50" spans="1:8" ht="1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3344</v>
      </c>
    </row>
    <row r="52" spans="1:8" ht="1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8907</v>
      </c>
    </row>
    <row r="53" spans="1:8" ht="1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22469</v>
      </c>
    </row>
    <row r="57" spans="1:8" ht="1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37497</v>
      </c>
    </row>
    <row r="58" spans="1:8" ht="1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4763</v>
      </c>
    </row>
    <row r="63" spans="1:8" ht="1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4763</v>
      </c>
    </row>
    <row r="65" spans="1:8" ht="1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4572</v>
      </c>
    </row>
    <row r="67" spans="1:8" ht="1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4581</v>
      </c>
    </row>
    <row r="70" spans="1:8" ht="1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46994</v>
      </c>
    </row>
    <row r="72" spans="1:8" ht="1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62249</v>
      </c>
    </row>
    <row r="73" spans="1:8" ht="1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653</v>
      </c>
    </row>
    <row r="83" spans="1:8" ht="1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653</v>
      </c>
    </row>
    <row r="86" spans="1:8" ht="1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17361</v>
      </c>
    </row>
    <row r="87" spans="1:8" ht="1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6184</v>
      </c>
    </row>
    <row r="88" spans="1:8" ht="1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6184</v>
      </c>
    </row>
    <row r="89" spans="1:8" ht="1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360</v>
      </c>
    </row>
    <row r="92" spans="1:8" ht="1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6544</v>
      </c>
    </row>
    <row r="94" spans="1:8" ht="1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24641</v>
      </c>
    </row>
    <row r="95" spans="1:8" ht="1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11735</v>
      </c>
    </row>
    <row r="103" spans="1:8" ht="1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199</v>
      </c>
    </row>
    <row r="106" spans="1:8" ht="1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11934</v>
      </c>
    </row>
    <row r="108" spans="1:8" ht="1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9426</v>
      </c>
    </row>
    <row r="109" spans="1:8" ht="1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3941</v>
      </c>
    </row>
    <row r="110" spans="1:8" ht="1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1304</v>
      </c>
    </row>
    <row r="111" spans="1:8" ht="1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</v>
      </c>
    </row>
    <row r="114" spans="1:8" ht="1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1150</v>
      </c>
    </row>
    <row r="115" spans="1:8" ht="1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113</v>
      </c>
    </row>
    <row r="118" spans="1:8" ht="1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11003</v>
      </c>
    </row>
    <row r="119" spans="1:8" ht="1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25674</v>
      </c>
    </row>
    <row r="121" spans="1:8" ht="1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25674</v>
      </c>
    </row>
    <row r="125" spans="1:8" ht="1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62249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229</v>
      </c>
    </row>
    <row r="129" spans="1:8" ht="1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3261</v>
      </c>
    </row>
    <row r="135" spans="1:8" ht="1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3231</v>
      </c>
    </row>
    <row r="136" spans="1:8" ht="1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3518</v>
      </c>
    </row>
    <row r="138" spans="1:8" ht="1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1623</v>
      </c>
    </row>
    <row r="139" spans="1:8" ht="1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120</v>
      </c>
    </row>
    <row r="140" spans="1:8" ht="1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25</v>
      </c>
    </row>
    <row r="142" spans="1:8" ht="1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1768</v>
      </c>
    </row>
    <row r="143" spans="1:8" ht="1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5286</v>
      </c>
    </row>
    <row r="144" spans="1:8" ht="1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388</v>
      </c>
    </row>
    <row r="145" spans="1:8" ht="1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5286</v>
      </c>
    </row>
    <row r="148" spans="1:8" ht="1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388</v>
      </c>
    </row>
    <row r="149" spans="1:8" ht="1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28</v>
      </c>
    </row>
    <row r="150" spans="1:8" ht="1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96</v>
      </c>
    </row>
    <row r="151" spans="1:8" ht="1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-68</v>
      </c>
    </row>
    <row r="152" spans="1:8" ht="1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360</v>
      </c>
    </row>
    <row r="154" spans="1:8" ht="1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360</v>
      </c>
    </row>
    <row r="156" spans="1:8" ht="1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5674</v>
      </c>
    </row>
    <row r="157" spans="1:8" ht="1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1553</v>
      </c>
    </row>
    <row r="161" spans="1:8" ht="1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1553</v>
      </c>
    </row>
    <row r="162" spans="1:8" ht="1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1774</v>
      </c>
    </row>
    <row r="165" spans="1:8" ht="1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129</v>
      </c>
    </row>
    <row r="166" spans="1:8" ht="1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2218</v>
      </c>
    </row>
    <row r="167" spans="1:8" ht="1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4121</v>
      </c>
    </row>
    <row r="170" spans="1:8" ht="1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5674</v>
      </c>
    </row>
    <row r="171" spans="1:8" ht="1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5674</v>
      </c>
    </row>
    <row r="175" spans="1:8" ht="1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5674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-124</v>
      </c>
    </row>
    <row r="183" spans="1:8" ht="1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</v>
      </c>
    </row>
    <row r="185" spans="1:8" ht="1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-237</v>
      </c>
    </row>
    <row r="186" spans="1:8" ht="1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-418</v>
      </c>
    </row>
    <row r="192" spans="1:8" ht="1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-2270</v>
      </c>
    </row>
    <row r="195" spans="1:8" ht="1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711</v>
      </c>
    </row>
    <row r="196" spans="1:8" ht="1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117</v>
      </c>
    </row>
    <row r="197" spans="1:8" ht="1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-24292</v>
      </c>
    </row>
    <row r="198" spans="1:8" ht="1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18769</v>
      </c>
    </row>
    <row r="199" spans="1:8" ht="1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1031</v>
      </c>
    </row>
    <row r="202" spans="1:8" ht="1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-5934</v>
      </c>
    </row>
    <row r="203" spans="1:8" ht="1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17285</v>
      </c>
    </row>
    <row r="204" spans="1:8" ht="1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10952</v>
      </c>
    </row>
    <row r="206" spans="1:8" ht="1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-19563</v>
      </c>
    </row>
    <row r="207" spans="1:8" ht="1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-2260</v>
      </c>
    </row>
    <row r="209" spans="1:8" ht="1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-25</v>
      </c>
    </row>
    <row r="211" spans="1:8" ht="1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6389</v>
      </c>
    </row>
    <row r="212" spans="1:8" ht="1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</v>
      </c>
    </row>
    <row r="213" spans="1:8" ht="1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4544</v>
      </c>
    </row>
    <row r="214" spans="1:8" ht="1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4581</v>
      </c>
    </row>
    <row r="215" spans="1:8" ht="1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</v>
      </c>
    </row>
    <row r="219" spans="1:8" ht="1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</v>
      </c>
    </row>
    <row r="223" spans="1:8" ht="1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576</v>
      </c>
    </row>
    <row r="236" spans="1:8" ht="1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16708</v>
      </c>
    </row>
    <row r="258" spans="1:8" ht="1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602</v>
      </c>
    </row>
    <row r="329" spans="1:8" ht="1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602</v>
      </c>
    </row>
    <row r="333" spans="1:8" ht="1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51</v>
      </c>
    </row>
    <row r="342" spans="1:8" ht="1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64</v>
      </c>
    </row>
    <row r="343" spans="1:8" ht="1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13</v>
      </c>
    </row>
    <row r="344" spans="1:8" ht="1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653</v>
      </c>
    </row>
    <row r="347" spans="1:8" ht="1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653</v>
      </c>
    </row>
    <row r="350" spans="1:8" ht="1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6184</v>
      </c>
    </row>
    <row r="351" spans="1:8" ht="1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6184</v>
      </c>
    </row>
    <row r="355" spans="1:8" ht="1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360</v>
      </c>
    </row>
    <row r="356" spans="1:8" ht="1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6544</v>
      </c>
    </row>
    <row r="369" spans="1:8" ht="1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6544</v>
      </c>
    </row>
    <row r="372" spans="1:8" ht="1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6946</v>
      </c>
    </row>
    <row r="417" spans="1:8" ht="1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6946</v>
      </c>
    </row>
    <row r="421" spans="1:8" ht="1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360</v>
      </c>
    </row>
    <row r="422" spans="1:8" ht="1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51</v>
      </c>
    </row>
    <row r="430" spans="1:8" ht="1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64</v>
      </c>
    </row>
    <row r="431" spans="1:8" ht="1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13</v>
      </c>
    </row>
    <row r="432" spans="1:8" ht="1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17284</v>
      </c>
    </row>
    <row r="434" spans="1:8" ht="1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24641</v>
      </c>
    </row>
    <row r="435" spans="1:8" ht="1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24641</v>
      </c>
    </row>
    <row r="438" spans="1:8" ht="1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9822</v>
      </c>
    </row>
    <row r="471" spans="1:8" ht="1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5382</v>
      </c>
    </row>
    <row r="478" spans="1:8" ht="1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2787</v>
      </c>
    </row>
    <row r="479" spans="1:8" ht="1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2595</v>
      </c>
    </row>
    <row r="482" spans="1:8" ht="1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5382</v>
      </c>
    </row>
    <row r="489" spans="1:8" ht="1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15204</v>
      </c>
    </row>
    <row r="491" spans="1:8" ht="1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9822</v>
      </c>
    </row>
    <row r="561" spans="1:8" ht="1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5382</v>
      </c>
    </row>
    <row r="568" spans="1:8" ht="1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2787</v>
      </c>
    </row>
    <row r="569" spans="1:8" ht="1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2595</v>
      </c>
    </row>
    <row r="572" spans="1:8" ht="1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5382</v>
      </c>
    </row>
    <row r="579" spans="1:8" ht="1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15204</v>
      </c>
    </row>
    <row r="581" spans="1:8" ht="1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948</v>
      </c>
    </row>
    <row r="591" spans="1:8" ht="1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64</v>
      </c>
    </row>
    <row r="598" spans="1:8" ht="1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64</v>
      </c>
    </row>
    <row r="602" spans="1:8" ht="1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64</v>
      </c>
    </row>
    <row r="609" spans="1:8" ht="1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1012</v>
      </c>
    </row>
    <row r="611" spans="1:8" ht="1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961</v>
      </c>
    </row>
    <row r="621" spans="1:8" ht="1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961</v>
      </c>
    </row>
    <row r="641" spans="1:8" ht="1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9809</v>
      </c>
    </row>
    <row r="651" spans="1:8" ht="1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5446</v>
      </c>
    </row>
    <row r="658" spans="1:8" ht="1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2787</v>
      </c>
    </row>
    <row r="659" spans="1:8" ht="1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2659</v>
      </c>
    </row>
    <row r="662" spans="1:8" ht="1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5446</v>
      </c>
    </row>
    <row r="669" spans="1:8" ht="1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15255</v>
      </c>
    </row>
    <row r="671" spans="1:8" ht="1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9809</v>
      </c>
    </row>
    <row r="891" spans="1:8" ht="1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5446</v>
      </c>
    </row>
    <row r="898" spans="1:8" ht="1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2787</v>
      </c>
    </row>
    <row r="899" spans="1:8" ht="1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2659</v>
      </c>
    </row>
    <row r="902" spans="1:8" ht="1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5446</v>
      </c>
    </row>
    <row r="909" spans="1:8" ht="1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15255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2777</v>
      </c>
    </row>
    <row r="924" spans="1:8" ht="1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197</v>
      </c>
    </row>
    <row r="925" spans="1:8" ht="1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2580</v>
      </c>
    </row>
    <row r="927" spans="1:8" ht="1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3344</v>
      </c>
    </row>
    <row r="929" spans="1:8" ht="1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8907</v>
      </c>
    </row>
    <row r="930" spans="1:8" ht="1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22469</v>
      </c>
    </row>
    <row r="938" spans="1:8" ht="1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22469</v>
      </c>
    </row>
    <row r="942" spans="1:8" ht="1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37497</v>
      </c>
    </row>
    <row r="943" spans="1:8" ht="1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37497</v>
      </c>
    </row>
    <row r="944" spans="1:8" ht="1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2777</v>
      </c>
    </row>
    <row r="956" spans="1:8" ht="1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197</v>
      </c>
    </row>
    <row r="957" spans="1:8" ht="1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2580</v>
      </c>
    </row>
    <row r="959" spans="1:8" ht="1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3344</v>
      </c>
    </row>
    <row r="961" spans="1:8" ht="1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8907</v>
      </c>
    </row>
    <row r="962" spans="1:8" ht="1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22469</v>
      </c>
    </row>
    <row r="970" spans="1:8" ht="1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22469</v>
      </c>
    </row>
    <row r="974" spans="1:8" ht="1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37497</v>
      </c>
    </row>
    <row r="975" spans="1:8" ht="1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37497</v>
      </c>
    </row>
    <row r="976" spans="1:8" ht="1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11735</v>
      </c>
    </row>
    <row r="1023" spans="1:8" ht="1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199</v>
      </c>
    </row>
    <row r="1024" spans="1:8" ht="1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9426</v>
      </c>
    </row>
    <row r="1029" spans="1:8" ht="1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9426</v>
      </c>
    </row>
    <row r="1030" spans="1:8" ht="1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3941</v>
      </c>
    </row>
    <row r="1034" spans="1:8" ht="1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3941</v>
      </c>
    </row>
    <row r="1036" spans="1:8" ht="1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1304</v>
      </c>
    </row>
    <row r="1039" spans="1:8" ht="1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</v>
      </c>
    </row>
    <row r="1041" spans="1:8" ht="1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1150</v>
      </c>
    </row>
    <row r="1042" spans="1:8" ht="1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113</v>
      </c>
    </row>
    <row r="1044" spans="1:8" ht="1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96</v>
      </c>
    </row>
    <row r="1045" spans="1:8" ht="1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11003</v>
      </c>
    </row>
    <row r="1049" spans="1:8" ht="1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25674</v>
      </c>
    </row>
    <row r="1050" spans="1:8" ht="1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37608</v>
      </c>
    </row>
    <row r="1051" spans="1:8" ht="1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9426</v>
      </c>
    </row>
    <row r="1072" spans="1:8" ht="1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9426</v>
      </c>
    </row>
    <row r="1073" spans="1:8" ht="1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3941</v>
      </c>
    </row>
    <row r="1077" spans="1:8" ht="1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3941</v>
      </c>
    </row>
    <row r="1079" spans="1:8" ht="1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1304</v>
      </c>
    </row>
    <row r="1082" spans="1:8" ht="1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</v>
      </c>
    </row>
    <row r="1084" spans="1:8" ht="1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1150</v>
      </c>
    </row>
    <row r="1085" spans="1:8" ht="1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113</v>
      </c>
    </row>
    <row r="1087" spans="1:8" ht="1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96</v>
      </c>
    </row>
    <row r="1088" spans="1:8" ht="1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11003</v>
      </c>
    </row>
    <row r="1092" spans="1:8" ht="1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25674</v>
      </c>
    </row>
    <row r="1093" spans="1:8" ht="1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25674</v>
      </c>
    </row>
    <row r="1094" spans="1:8" ht="1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11735</v>
      </c>
    </row>
    <row r="1109" spans="1:8" ht="1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199</v>
      </c>
    </row>
    <row r="1110" spans="1:8" ht="1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11934</v>
      </c>
    </row>
    <row r="1137" spans="1:8" ht="1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2659</v>
      </c>
    </row>
    <row r="1240" spans="1:8" ht="1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2659</v>
      </c>
    </row>
    <row r="1245" spans="1:8" ht="1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4763</v>
      </c>
    </row>
    <row r="1246" spans="1:8" ht="1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4763</v>
      </c>
    </row>
    <row r="1253" spans="1:8" ht="1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2659</v>
      </c>
    </row>
    <row r="1282" spans="1:8" ht="1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2659</v>
      </c>
    </row>
    <row r="1287" spans="1:8" ht="1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4763</v>
      </c>
    </row>
    <row r="1288" spans="1:8" ht="1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4763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2787</v>
      </c>
    </row>
    <row r="1297" spans="1:8" ht="1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2659</v>
      </c>
    </row>
    <row r="1300" spans="1:8" ht="1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5446</v>
      </c>
    </row>
    <row r="1301" spans="1:8" ht="1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2787</v>
      </c>
    </row>
    <row r="1327" spans="1:8" ht="1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2659</v>
      </c>
    </row>
    <row r="1330" spans="1:8" ht="1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5446</v>
      </c>
    </row>
    <row r="1331" spans="1:8" ht="1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B89">
      <selection activeCell="A1" sqref="A1:H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736</v>
      </c>
      <c r="H12" s="196">
        <v>160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736</v>
      </c>
      <c r="H13" s="196">
        <v>160</v>
      </c>
    </row>
    <row r="14" spans="1:8" ht="15">
      <c r="A14" s="89" t="s">
        <v>30</v>
      </c>
      <c r="B14" s="91" t="s">
        <v>31</v>
      </c>
      <c r="C14" s="197">
        <v>0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160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16708</v>
      </c>
      <c r="H20" s="196"/>
    </row>
    <row r="21" spans="1:8" ht="15.75">
      <c r="A21" s="100" t="s">
        <v>56</v>
      </c>
      <c r="B21" s="96" t="s">
        <v>57</v>
      </c>
      <c r="C21" s="476">
        <v>9809</v>
      </c>
      <c r="D21" s="477">
        <v>9822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653</v>
      </c>
      <c r="H22" s="614">
        <f>SUM(H23:H25)</f>
        <v>602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653</v>
      </c>
      <c r="H25" s="196">
        <v>602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17361</v>
      </c>
      <c r="H26" s="598">
        <f>H20+H21+H22</f>
        <v>602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6184</v>
      </c>
      <c r="H28" s="596">
        <f>SUM(H29:H31)</f>
        <v>4881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6184</v>
      </c>
      <c r="H29" s="196">
        <v>4881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360</v>
      </c>
      <c r="H32" s="196">
        <v>1303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6544</v>
      </c>
      <c r="H34" s="598">
        <f>H28+H32+H33</f>
        <v>6184</v>
      </c>
    </row>
    <row r="35" spans="1:8" ht="15">
      <c r="A35" s="89" t="s">
        <v>106</v>
      </c>
      <c r="B35" s="94" t="s">
        <v>107</v>
      </c>
      <c r="C35" s="595">
        <f>SUM(C36:C39)</f>
        <v>5446</v>
      </c>
      <c r="D35" s="596">
        <f>SUM(D36:D39)</f>
        <v>5386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2787</v>
      </c>
      <c r="D36" s="196">
        <v>2791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24641</v>
      </c>
      <c r="H37" s="600">
        <f>H26+H18+H34</f>
        <v>6946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2659</v>
      </c>
      <c r="D39" s="196">
        <v>2595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4635</v>
      </c>
    </row>
    <row r="46" spans="1:13" ht="15.75">
      <c r="A46" s="473" t="s">
        <v>137</v>
      </c>
      <c r="B46" s="96" t="s">
        <v>138</v>
      </c>
      <c r="C46" s="597">
        <f>C35+C40+C45</f>
        <v>5446</v>
      </c>
      <c r="D46" s="598">
        <f>D35+D40+D45</f>
        <v>5386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6">
        <v>15646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11735</v>
      </c>
      <c r="H50" s="596">
        <f>SUM(H44:H49)</f>
        <v>20281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199</v>
      </c>
      <c r="H54" s="196">
        <v>254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15255</v>
      </c>
      <c r="D56" s="602">
        <f>D20+D21+D22+D28+D33+D46+D52+D54+D55</f>
        <v>15208</v>
      </c>
      <c r="E56" s="100" t="s">
        <v>850</v>
      </c>
      <c r="F56" s="99" t="s">
        <v>172</v>
      </c>
      <c r="G56" s="599">
        <f>G50+G52+G53+G54+G55</f>
        <v>11934</v>
      </c>
      <c r="H56" s="600">
        <f>H50+H52+H53+H54+H55</f>
        <v>20535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9426</v>
      </c>
      <c r="H59" s="196">
        <v>7230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3941</v>
      </c>
      <c r="H60" s="196">
        <v>4444</v>
      </c>
      <c r="M60" s="98"/>
    </row>
    <row r="61" spans="1:8" ht="1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1304</v>
      </c>
      <c r="H61" s="596">
        <f>SUM(H62:H68)</f>
        <v>3997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</v>
      </c>
      <c r="H64" s="197">
        <v>3746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1150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0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7">
        <v>9</v>
      </c>
    </row>
    <row r="68" spans="1:8" ht="15">
      <c r="A68" s="89" t="s">
        <v>206</v>
      </c>
      <c r="B68" s="91" t="s">
        <v>207</v>
      </c>
      <c r="C68" s="197">
        <v>2777</v>
      </c>
      <c r="D68" s="196">
        <v>3918</v>
      </c>
      <c r="E68" s="89" t="s">
        <v>212</v>
      </c>
      <c r="F68" s="93" t="s">
        <v>213</v>
      </c>
      <c r="G68" s="197">
        <v>113</v>
      </c>
      <c r="H68" s="197">
        <v>242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11003</v>
      </c>
      <c r="H69" s="197">
        <v>13531</v>
      </c>
    </row>
    <row r="70" spans="1:8" ht="15">
      <c r="A70" s="89" t="s">
        <v>214</v>
      </c>
      <c r="B70" s="91" t="s">
        <v>215</v>
      </c>
      <c r="C70" s="197">
        <v>3344</v>
      </c>
      <c r="D70" s="196">
        <f>1663-962</f>
        <v>701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8907</v>
      </c>
      <c r="D71" s="196">
        <f>4995-220</f>
        <v>4775</v>
      </c>
      <c r="E71" s="474" t="s">
        <v>47</v>
      </c>
      <c r="F71" s="95" t="s">
        <v>223</v>
      </c>
      <c r="G71" s="597">
        <f>G59+G60+G61+G69+G70</f>
        <v>25674</v>
      </c>
      <c r="H71" s="598">
        <f>H59+H60+H61+H69+H70</f>
        <v>29202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22469</v>
      </c>
      <c r="D75" s="196">
        <f>17930-2704-32</f>
        <v>15194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37497</v>
      </c>
      <c r="D76" s="598">
        <f>SUM(D68:D75)</f>
        <v>24588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25674</v>
      </c>
      <c r="H79" s="600">
        <f>H71+H73+H75+H77</f>
        <v>29202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4763</v>
      </c>
      <c r="D83" s="196">
        <v>12190</v>
      </c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4763</v>
      </c>
      <c r="D85" s="598">
        <f>D84+D83+D79</f>
        <v>12190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9</v>
      </c>
      <c r="D88" s="196">
        <v>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4572</v>
      </c>
      <c r="D89" s="196">
        <v>4542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0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4581</v>
      </c>
      <c r="D92" s="598">
        <f>SUM(D88:D91)</f>
        <v>4544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46994</v>
      </c>
      <c r="D94" s="602">
        <f>D65+D76+D85+D92+D93</f>
        <v>41475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62249</v>
      </c>
      <c r="D95" s="604">
        <f>D94+D56</f>
        <v>56683</v>
      </c>
      <c r="E95" s="229" t="s">
        <v>942</v>
      </c>
      <c r="F95" s="489" t="s">
        <v>268</v>
      </c>
      <c r="G95" s="603">
        <f>G37+G40+G56+G79</f>
        <v>62249</v>
      </c>
      <c r="H95" s="604">
        <f>H37+H40+H56+H79</f>
        <v>56683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44035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Спас Веселинов Пещерски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5">
      <selection activeCell="A1" sqref="A1:H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229</v>
      </c>
      <c r="D13" s="317">
        <v>201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0</v>
      </c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25</v>
      </c>
      <c r="D15" s="317">
        <v>24</v>
      </c>
      <c r="E15" s="245" t="s">
        <v>79</v>
      </c>
      <c r="F15" s="240" t="s">
        <v>289</v>
      </c>
      <c r="G15" s="316">
        <v>1553</v>
      </c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1553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3261</v>
      </c>
      <c r="D19" s="317">
        <v>125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3231</v>
      </c>
      <c r="D20" s="317">
        <v>114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3518</v>
      </c>
      <c r="D22" s="629">
        <f>SUM(D12:D18)+D19</f>
        <v>353</v>
      </c>
      <c r="E22" s="194" t="s">
        <v>309</v>
      </c>
      <c r="F22" s="237" t="s">
        <v>310</v>
      </c>
      <c r="G22" s="316">
        <v>1774</v>
      </c>
      <c r="H22" s="317">
        <v>2100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129</v>
      </c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2218</v>
      </c>
      <c r="H24" s="317">
        <v>3909</v>
      </c>
    </row>
    <row r="25" spans="1:8" ht="30.75">
      <c r="A25" s="194" t="s">
        <v>316</v>
      </c>
      <c r="B25" s="237" t="s">
        <v>317</v>
      </c>
      <c r="C25" s="316">
        <v>1623</v>
      </c>
      <c r="D25" s="317">
        <v>2220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120</v>
      </c>
      <c r="D26" s="317">
        <v>471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4121</v>
      </c>
      <c r="H27" s="629">
        <f>SUM(H22:H26)</f>
        <v>6009</v>
      </c>
    </row>
    <row r="28" spans="1:8" ht="15">
      <c r="A28" s="194" t="s">
        <v>79</v>
      </c>
      <c r="B28" s="237" t="s">
        <v>327</v>
      </c>
      <c r="C28" s="316">
        <v>25</v>
      </c>
      <c r="D28" s="317">
        <v>1417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1768</v>
      </c>
      <c r="D29" s="629">
        <f>SUM(D25:D28)</f>
        <v>4108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5286</v>
      </c>
      <c r="D31" s="635">
        <f>D29+D22</f>
        <v>4461</v>
      </c>
      <c r="E31" s="251" t="s">
        <v>824</v>
      </c>
      <c r="F31" s="266" t="s">
        <v>331</v>
      </c>
      <c r="G31" s="253">
        <f>G16+G18+G27</f>
        <v>5674</v>
      </c>
      <c r="H31" s="254">
        <f>H16+H18+H27</f>
        <v>6009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388</v>
      </c>
      <c r="D33" s="244">
        <f>IF((H31-D31)&gt;0,H31-D31,0)</f>
        <v>1548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5286</v>
      </c>
      <c r="D36" s="637">
        <f>D31-D34+D35</f>
        <v>4461</v>
      </c>
      <c r="E36" s="262" t="s">
        <v>346</v>
      </c>
      <c r="F36" s="256" t="s">
        <v>347</v>
      </c>
      <c r="G36" s="267">
        <f>G35-G34+G31</f>
        <v>5674</v>
      </c>
      <c r="H36" s="268">
        <f>H35-H34+H31</f>
        <v>6009</v>
      </c>
    </row>
    <row r="37" spans="1:8" ht="15.75">
      <c r="A37" s="261" t="s">
        <v>348</v>
      </c>
      <c r="B37" s="231" t="s">
        <v>349</v>
      </c>
      <c r="C37" s="634">
        <f>IF((G36-C36)&gt;0,G36-C36,0)</f>
        <v>388</v>
      </c>
      <c r="D37" s="635">
        <f>IF((H36-D36)&gt;0,H36-D36,0)</f>
        <v>1548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28</v>
      </c>
      <c r="D38" s="629">
        <f>D39+D40+D41</f>
        <v>245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96</v>
      </c>
      <c r="D39" s="317">
        <v>245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-68</v>
      </c>
      <c r="D40" s="317">
        <v>0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360</v>
      </c>
      <c r="D42" s="244">
        <f>+IF((H36-D36-D38)&gt;0,H36-D36-D38,0)</f>
        <v>1303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360</v>
      </c>
      <c r="D44" s="268">
        <f>IF(H42=0,IF(D42-D43&gt;0,D42-D43+H43,0),IF(H42-H43&lt;0,H43-H42+D42,0))</f>
        <v>1303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5674</v>
      </c>
      <c r="D45" s="631">
        <f>D36+D38+D42</f>
        <v>6009</v>
      </c>
      <c r="E45" s="270" t="s">
        <v>373</v>
      </c>
      <c r="F45" s="272" t="s">
        <v>374</v>
      </c>
      <c r="G45" s="630">
        <f>G42+G36</f>
        <v>5674</v>
      </c>
      <c r="H45" s="631">
        <f>H42+H36</f>
        <v>6009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44035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Спас Веселинов Пещерски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A1" sqref="A1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-124</v>
      </c>
      <c r="D12" s="196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-40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-237</v>
      </c>
      <c r="D15" s="196">
        <v>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-17</v>
      </c>
      <c r="D20" s="196"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-418</v>
      </c>
      <c r="D21" s="659">
        <f>SUM(D11:D20)</f>
        <v>-108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-2270</v>
      </c>
      <c r="D25" s="196">
        <v>1661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711</v>
      </c>
      <c r="D26" s="196">
        <v>-2605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117</v>
      </c>
      <c r="D27" s="196">
        <v>355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-24292</v>
      </c>
      <c r="D28" s="196">
        <v>-7871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18769</v>
      </c>
      <c r="D29" s="196">
        <v>24719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1031</v>
      </c>
      <c r="D32" s="196">
        <v>1940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-5934</v>
      </c>
      <c r="D33" s="659">
        <f>SUM(D23:D32)</f>
        <v>18199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17285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10952</v>
      </c>
      <c r="D37" s="196">
        <v>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-19563</v>
      </c>
      <c r="D38" s="196">
        <v>-1649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-2260</v>
      </c>
      <c r="D40" s="196">
        <v>-1740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-25</v>
      </c>
      <c r="D42" s="196">
        <v>-10346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6389</v>
      </c>
      <c r="D43" s="661">
        <f>SUM(D35:D42)</f>
        <v>-13735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37</v>
      </c>
      <c r="D44" s="307">
        <f>D43+D33+D21</f>
        <v>4356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4544</v>
      </c>
      <c r="D45" s="309">
        <v>188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4581</v>
      </c>
      <c r="D46" s="311">
        <f>D45+D44</f>
        <v>4544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0</v>
      </c>
      <c r="D47" s="298">
        <v>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44035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Спас Веселинов Пещерски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29" sqref="H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0.75">
      <c r="A9" s="709"/>
      <c r="B9" s="712"/>
      <c r="C9" s="715"/>
      <c r="D9" s="718" t="s">
        <v>826</v>
      </c>
      <c r="E9" s="718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5"/>
      <c r="L9" s="715"/>
      <c r="M9" s="536" t="s">
        <v>825</v>
      </c>
      <c r="N9" s="532"/>
    </row>
    <row r="10" spans="1:14" s="533" customFormat="1" ht="30.75">
      <c r="A10" s="710"/>
      <c r="B10" s="713"/>
      <c r="C10" s="716"/>
      <c r="D10" s="718"/>
      <c r="E10" s="718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602</v>
      </c>
      <c r="I13" s="584">
        <f>'1-Баланс'!H29+'1-Баланс'!H32</f>
        <v>6184</v>
      </c>
      <c r="J13" s="584">
        <f>'1-Баланс'!H30+'1-Баланс'!H33</f>
        <v>0</v>
      </c>
      <c r="K13" s="585"/>
      <c r="L13" s="584">
        <f>SUM(C13:K13)</f>
        <v>6946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602</v>
      </c>
      <c r="I17" s="653">
        <f t="shared" si="2"/>
        <v>6184</v>
      </c>
      <c r="J17" s="653">
        <f t="shared" si="2"/>
        <v>0</v>
      </c>
      <c r="K17" s="653">
        <f t="shared" si="2"/>
        <v>0</v>
      </c>
      <c r="L17" s="584">
        <f t="shared" si="1"/>
        <v>6946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360</v>
      </c>
      <c r="J18" s="584">
        <f>+'1-Баланс'!G33</f>
        <v>0</v>
      </c>
      <c r="K18" s="585">
        <v>0</v>
      </c>
      <c r="L18" s="584">
        <f t="shared" si="1"/>
        <v>360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51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51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>
        <v>64</v>
      </c>
      <c r="I27" s="316"/>
      <c r="J27" s="316"/>
      <c r="K27" s="316"/>
      <c r="L27" s="584">
        <f t="shared" si="1"/>
        <v>64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>
        <v>13</v>
      </c>
      <c r="I28" s="316"/>
      <c r="J28" s="316"/>
      <c r="K28" s="316"/>
      <c r="L28" s="584">
        <f t="shared" si="1"/>
        <v>13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0</v>
      </c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576</v>
      </c>
      <c r="D30" s="316">
        <v>16708</v>
      </c>
      <c r="E30" s="316"/>
      <c r="F30" s="316"/>
      <c r="G30" s="316"/>
      <c r="H30" s="316">
        <v>0</v>
      </c>
      <c r="I30" s="316">
        <v>0</v>
      </c>
      <c r="J30" s="316"/>
      <c r="K30" s="316"/>
      <c r="L30" s="584">
        <f t="shared" si="1"/>
        <v>17284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653</v>
      </c>
      <c r="I31" s="653">
        <f t="shared" si="6"/>
        <v>6544</v>
      </c>
      <c r="J31" s="653">
        <f t="shared" si="6"/>
        <v>0</v>
      </c>
      <c r="K31" s="653">
        <f t="shared" si="6"/>
        <v>0</v>
      </c>
      <c r="L31" s="584">
        <f t="shared" si="1"/>
        <v>24641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653</v>
      </c>
      <c r="I34" s="587">
        <f t="shared" si="7"/>
        <v>6544</v>
      </c>
      <c r="J34" s="587">
        <f t="shared" si="7"/>
        <v>0</v>
      </c>
      <c r="K34" s="587">
        <f t="shared" si="7"/>
        <v>0</v>
      </c>
      <c r="L34" s="651">
        <f t="shared" si="1"/>
        <v>24641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44035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Спас Веселинов Пещерски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C66" sqref="C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2787</v>
      </c>
      <c r="D12" s="92">
        <v>95</v>
      </c>
      <c r="E12" s="92"/>
      <c r="F12" s="469">
        <f>C12-E12</f>
        <v>2787</v>
      </c>
    </row>
    <row r="13" spans="1:6" ht="1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2787</v>
      </c>
      <c r="D27" s="472"/>
      <c r="E27" s="472">
        <f>SUM(E12:E26)</f>
        <v>0</v>
      </c>
      <c r="F27" s="472">
        <f>SUM(F12:F26)</f>
        <v>2787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995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">
      <c r="A64" s="678" t="s">
        <v>996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">
      <c r="A65" s="678" t="s">
        <v>997</v>
      </c>
      <c r="B65" s="679"/>
      <c r="C65" s="92">
        <v>2472</v>
      </c>
      <c r="D65" s="92">
        <v>2</v>
      </c>
      <c r="E65" s="92">
        <v>0</v>
      </c>
      <c r="F65" s="469">
        <f t="shared" si="3"/>
        <v>2472</v>
      </c>
    </row>
    <row r="66" spans="1:6" ht="15">
      <c r="A66" s="678" t="s">
        <v>998</v>
      </c>
      <c r="B66" s="679"/>
      <c r="C66" s="92">
        <v>150</v>
      </c>
      <c r="D66" s="92">
        <v>9</v>
      </c>
      <c r="E66" s="92"/>
      <c r="F66" s="469">
        <f t="shared" si="3"/>
        <v>150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2659</v>
      </c>
      <c r="D78" s="472"/>
      <c r="E78" s="472">
        <f>SUM(E63:E77)</f>
        <v>0</v>
      </c>
      <c r="F78" s="472">
        <f>SUM(F63:F77)</f>
        <v>2659</v>
      </c>
    </row>
    <row r="79" spans="1:6" ht="15.75">
      <c r="A79" s="513" t="s">
        <v>801</v>
      </c>
      <c r="B79" s="510" t="s">
        <v>802</v>
      </c>
      <c r="C79" s="472">
        <f>C78+C61+C44+C27</f>
        <v>5446</v>
      </c>
      <c r="D79" s="472"/>
      <c r="E79" s="472">
        <f>E78+E61+E44+E27</f>
        <v>0</v>
      </c>
      <c r="F79" s="472">
        <f>F78+F61+F44+F27</f>
        <v>5446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44035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Спас Веселинов Пещерски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0">
      <selection activeCell="G30" sqref="G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>
        <v>0</v>
      </c>
      <c r="F13" s="328">
        <v>0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>
        <v>0</v>
      </c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9822</v>
      </c>
      <c r="E20" s="328">
        <v>0</v>
      </c>
      <c r="F20" s="328"/>
      <c r="G20" s="329">
        <f t="shared" si="2"/>
        <v>9822</v>
      </c>
      <c r="H20" s="328">
        <v>948</v>
      </c>
      <c r="I20" s="328">
        <v>961</v>
      </c>
      <c r="J20" s="329">
        <f t="shared" si="3"/>
        <v>9809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9809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5382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5382</v>
      </c>
      <c r="H29" s="335">
        <f t="shared" si="6"/>
        <v>64</v>
      </c>
      <c r="I29" s="335">
        <f t="shared" si="6"/>
        <v>0</v>
      </c>
      <c r="J29" s="336">
        <f t="shared" si="3"/>
        <v>5446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5446</v>
      </c>
    </row>
    <row r="30" spans="1:18" ht="15">
      <c r="A30" s="339"/>
      <c r="B30" s="321" t="s">
        <v>108</v>
      </c>
      <c r="C30" s="152" t="s">
        <v>563</v>
      </c>
      <c r="D30" s="700">
        <v>2787</v>
      </c>
      <c r="E30" s="700"/>
      <c r="F30" s="700">
        <v>0</v>
      </c>
      <c r="G30" s="329">
        <f t="shared" si="2"/>
        <v>2787</v>
      </c>
      <c r="H30" s="328"/>
      <c r="I30" s="328"/>
      <c r="J30" s="329">
        <f t="shared" si="3"/>
        <v>2787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2787</v>
      </c>
    </row>
    <row r="31" spans="1:18" ht="1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0">
        <v>2595</v>
      </c>
      <c r="E33" s="700"/>
      <c r="F33" s="700">
        <v>0</v>
      </c>
      <c r="G33" s="329">
        <f t="shared" si="2"/>
        <v>2595</v>
      </c>
      <c r="H33" s="328">
        <v>64</v>
      </c>
      <c r="I33" s="328"/>
      <c r="J33" s="329">
        <f t="shared" si="3"/>
        <v>2659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2659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5382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5382</v>
      </c>
      <c r="H40" s="330">
        <f t="shared" si="10"/>
        <v>64</v>
      </c>
      <c r="I40" s="330">
        <f t="shared" si="10"/>
        <v>0</v>
      </c>
      <c r="J40" s="329">
        <f t="shared" si="3"/>
        <v>5446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5446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15204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15204</v>
      </c>
      <c r="H42" s="349">
        <f t="shared" si="11"/>
        <v>1012</v>
      </c>
      <c r="I42" s="349">
        <f t="shared" si="11"/>
        <v>961</v>
      </c>
      <c r="J42" s="349">
        <f t="shared" si="11"/>
        <v>15255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15255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44035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Спас Веселинов Пещерски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2">
      <selection activeCell="B114" sqref="B114:F11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2777</v>
      </c>
      <c r="D26" s="362">
        <f>SUM(D27:D29)</f>
        <v>2777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197</v>
      </c>
      <c r="D27" s="368">
        <v>197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2580</v>
      </c>
      <c r="D29" s="368">
        <v>2580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3344</v>
      </c>
      <c r="D31" s="368">
        <v>3344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8907</v>
      </c>
      <c r="D32" s="368">
        <v>8907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22469</v>
      </c>
      <c r="D40" s="362">
        <f>SUM(D41:D44)</f>
        <v>22469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22469</v>
      </c>
      <c r="D44" s="368">
        <v>22469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37497</v>
      </c>
      <c r="D45" s="438">
        <f>D26+D30+D31+D33+D32+D34+D35+D40</f>
        <v>37497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37497</v>
      </c>
      <c r="D46" s="444">
        <f>D45+D23+D21+D11</f>
        <v>37497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>
        <v>0</v>
      </c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11735</v>
      </c>
      <c r="D68" s="435">
        <f>D54+D58+D63+D64+D65+D66</f>
        <v>0</v>
      </c>
      <c r="E68" s="436">
        <f t="shared" si="1"/>
        <v>11735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199</v>
      </c>
      <c r="D70" s="197"/>
      <c r="E70" s="136">
        <f t="shared" si="1"/>
        <v>199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9426</v>
      </c>
      <c r="D77" s="138">
        <f>D78+D80</f>
        <v>9426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9426</v>
      </c>
      <c r="D78" s="197">
        <v>9426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3941</v>
      </c>
      <c r="D82" s="138">
        <f>SUM(D83:D86)</f>
        <v>3941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3941</v>
      </c>
      <c r="D84" s="197">
        <v>3941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1304</v>
      </c>
      <c r="D87" s="134">
        <f>SUM(D88:D92)+D96</f>
        <v>1304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34</v>
      </c>
      <c r="D89" s="197">
        <v>34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1150</v>
      </c>
      <c r="D90" s="197">
        <v>1150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113</v>
      </c>
      <c r="D92" s="138">
        <f>SUM(D93:D95)</f>
        <v>113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96</v>
      </c>
      <c r="D93" s="197">
        <v>96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11003</v>
      </c>
      <c r="D97" s="197">
        <v>11003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25674</v>
      </c>
      <c r="D98" s="433">
        <f>D87+D82+D77+D73+D97</f>
        <v>25674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37608</v>
      </c>
      <c r="D99" s="427">
        <f>D98+D70+D68</f>
        <v>25674</v>
      </c>
      <c r="E99" s="427">
        <f>E98+E70+E68</f>
        <v>11934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9" t="s">
        <v>841</v>
      </c>
      <c r="B109" s="739"/>
      <c r="C109" s="739"/>
      <c r="D109" s="739"/>
      <c r="E109" s="739"/>
      <c r="F109" s="73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44035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Спас Веселинов Пещерски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701"/>
      <c r="D13" s="701"/>
      <c r="E13" s="701"/>
      <c r="F13" s="701">
        <v>2659</v>
      </c>
      <c r="G13" s="449"/>
      <c r="H13" s="449"/>
      <c r="I13" s="450">
        <f>F13+G13-H13</f>
        <v>2659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2659</v>
      </c>
      <c r="G18" s="456">
        <f t="shared" si="1"/>
        <v>0</v>
      </c>
      <c r="H18" s="456">
        <f t="shared" si="1"/>
        <v>0</v>
      </c>
      <c r="I18" s="457">
        <f t="shared" si="0"/>
        <v>2659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4763</v>
      </c>
      <c r="G20" s="449"/>
      <c r="H20" s="449"/>
      <c r="I20" s="450">
        <f t="shared" si="0"/>
        <v>4763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4763</v>
      </c>
      <c r="G27" s="456">
        <f t="shared" si="2"/>
        <v>0</v>
      </c>
      <c r="H27" s="456">
        <f t="shared" si="2"/>
        <v>0</v>
      </c>
      <c r="I27" s="457">
        <f t="shared" si="0"/>
        <v>4763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44035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Спас Веселинов Пещерски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2020-07-30T11:50:05Z</cp:lastPrinted>
  <dcterms:created xsi:type="dcterms:W3CDTF">2006-09-16T00:00:00Z</dcterms:created>
  <dcterms:modified xsi:type="dcterms:W3CDTF">2020-07-30T11:50:14Z</dcterms:modified>
  <cp:category/>
  <cp:version/>
  <cp:contentType/>
  <cp:contentStatus/>
</cp:coreProperties>
</file>