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<sst xmlns="http://schemas.openxmlformats.org/spreadsheetml/2006/main" count="4192" uniqueCount="974">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</sst>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44357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44357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1.0487562189054727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0.04289260570544907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0.014236702055812194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0.010652813292770439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1.2055555555555555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2.5141961454882265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2.483025186135157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0.8157529122582025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0.019628798404046882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0.07878027749470878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0.010157568652024945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0.6516247022796869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3.0128189476254423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0.7482641169990196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4687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0.19073780165221993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0.7160695703879887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15.369317002283578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702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747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11968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15522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15522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28365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42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42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7065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39704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46802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3620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3620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18728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22348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255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290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551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833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70576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98941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5690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9595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-2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1054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6744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24573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334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3765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45765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45963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1179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26892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23403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3460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28071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28071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98941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397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130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115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17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744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641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1404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3540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598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38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4176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5580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1147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5580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1147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79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19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1068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1054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6727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980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1005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2981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354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2387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5722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6727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6727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6727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-244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-120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-594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-955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-2500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5875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-602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1275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-17325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16634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354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29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3740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22418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-21983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-3325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-19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-2909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-124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675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551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551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9595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9595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1054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10647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10647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23521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23521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1054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24573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24573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320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320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14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334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1738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2193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2365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815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44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46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7201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8360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193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193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9443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25325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2918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2918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1693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1429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2358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815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44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46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6385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193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193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9443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16021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816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11278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12222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690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690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816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11968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12912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384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1153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505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12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45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2099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117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117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2216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47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44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36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129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130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369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1190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541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14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45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2159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118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118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2277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62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69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69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62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69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69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702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747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11968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12843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7065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55226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62324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62324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7065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39704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46802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46802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15522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15522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15522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4396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4396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46396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198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548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548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26889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23403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3460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19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27440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74034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631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631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631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548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548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26889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23403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3460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19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27440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28071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3765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3765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42000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45765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198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45963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2499979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2605146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20622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888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21510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1176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30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1206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343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25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368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21455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893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22348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1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7">
        <v>45</v>
      </c>
      <c r="D12" s="187">
        <v>1738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7">
        <v>702</v>
      </c>
      <c r="D13" s="187">
        <v>1809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7"/>
      <c r="D14" s="187">
        <v>1212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7"/>
      <c r="D15" s="187">
        <v>310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7"/>
      <c r="D16" s="187">
        <v>32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7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7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7"/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747</v>
      </c>
      <c r="D20" s="567">
        <f>SUM(D12:D19)</f>
        <v>5102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11968</v>
      </c>
      <c r="D21" s="464">
        <v>8360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/>
      <c r="D24" s="187">
        <v>75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75</v>
      </c>
      <c r="E28" s="193" t="s">
        <v>84</v>
      </c>
      <c r="F28" s="87" t="s">
        <v>85</v>
      </c>
      <c r="G28" s="564">
        <f>SUM(G29:G31)</f>
        <v>5690</v>
      </c>
      <c r="H28" s="565">
        <f>SUM(H29:H31)</f>
        <v>4040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5552+2392-1+1652</f>
        <v>9595</v>
      </c>
      <c r="H29" s="188">
        <f>5552+2392-1</f>
        <v>7943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8">
        <v>-3903</v>
      </c>
      <c r="M30" s="92"/>
    </row>
    <row r="31" spans="1:8" ht="15">
      <c r="A31" s="84" t="s">
        <v>91</v>
      </c>
      <c r="B31" s="86" t="s">
        <v>92</v>
      </c>
      <c r="C31" s="188"/>
      <c r="D31" s="187">
        <v>9443</v>
      </c>
      <c r="E31" s="84" t="s">
        <v>93</v>
      </c>
      <c r="F31" s="87" t="s">
        <v>94</v>
      </c>
      <c r="G31" s="188">
        <v>-2</v>
      </c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1054</v>
      </c>
      <c r="H32" s="188">
        <v>1652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9443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6744</v>
      </c>
      <c r="H34" s="567">
        <f>H28+H32+H33</f>
        <v>5692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24573</v>
      </c>
      <c r="H37" s="569">
        <f>H26+H18+H34</f>
        <v>23521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334</v>
      </c>
      <c r="H40" s="552">
        <v>320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3765</v>
      </c>
      <c r="H45" s="188">
        <v>4157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8">
        <v>42000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45765</v>
      </c>
      <c r="H50" s="565">
        <f>SUM(H44:H49)</f>
        <v>46157</v>
      </c>
    </row>
    <row r="51" spans="1:8" ht="15">
      <c r="A51" s="84" t="s">
        <v>79</v>
      </c>
      <c r="B51" s="86" t="s">
        <v>155</v>
      </c>
      <c r="C51" s="188">
        <v>15522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15522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198</v>
      </c>
      <c r="H54" s="187">
        <v>123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28365</v>
      </c>
      <c r="D56" s="571">
        <f>D20+D21+D22+D28+D33+D46+D52+D54+D55</f>
        <v>23108</v>
      </c>
      <c r="E56" s="94" t="s">
        <v>825</v>
      </c>
      <c r="F56" s="93" t="s">
        <v>172</v>
      </c>
      <c r="G56" s="568">
        <f>G50+G52+G53+G54+G55</f>
        <v>45963</v>
      </c>
      <c r="H56" s="569">
        <f>H50+H52+H53+H54+H55</f>
        <v>46280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42</v>
      </c>
      <c r="D59" s="187">
        <v>40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1179</v>
      </c>
      <c r="H60" s="187">
        <v>1240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26892</v>
      </c>
      <c r="H61" s="565">
        <f>SUM(H62:H68)</f>
        <v>31407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1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23403</v>
      </c>
      <c r="H63" s="188">
        <v>28448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3460</v>
      </c>
      <c r="H64" s="188">
        <v>2452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42</v>
      </c>
      <c r="D65" s="567">
        <f>SUM(D59:D64)</f>
        <v>40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8">
        <v>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8">
        <v>2</v>
      </c>
    </row>
    <row r="68" spans="1:8" ht="15">
      <c r="A68" s="84" t="s">
        <v>206</v>
      </c>
      <c r="B68" s="86" t="s">
        <v>207</v>
      </c>
      <c r="C68" s="188"/>
      <c r="D68" s="188">
        <v>14</v>
      </c>
      <c r="E68" s="84" t="s">
        <v>212</v>
      </c>
      <c r="F68" s="87" t="s">
        <v>213</v>
      </c>
      <c r="G68" s="188">
        <f>19+1</f>
        <v>20</v>
      </c>
      <c r="H68" s="188">
        <v>500</v>
      </c>
    </row>
    <row r="69" spans="1:8" ht="15">
      <c r="A69" s="84" t="s">
        <v>210</v>
      </c>
      <c r="B69" s="86" t="s">
        <v>211</v>
      </c>
      <c r="C69" s="188">
        <v>13</v>
      </c>
      <c r="D69" s="188">
        <v>426</v>
      </c>
      <c r="E69" s="192" t="s">
        <v>79</v>
      </c>
      <c r="F69" s="87" t="s">
        <v>216</v>
      </c>
      <c r="G69" s="188"/>
      <c r="H69" s="188"/>
    </row>
    <row r="70" spans="1:8" ht="15">
      <c r="A70" s="84" t="s">
        <v>214</v>
      </c>
      <c r="B70" s="86" t="s">
        <v>215</v>
      </c>
      <c r="C70" s="188">
        <v>7065</v>
      </c>
      <c r="D70" s="188">
        <v>13115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39704</v>
      </c>
      <c r="D71" s="188">
        <v>46167</v>
      </c>
      <c r="E71" s="461" t="s">
        <v>47</v>
      </c>
      <c r="F71" s="89" t="s">
        <v>223</v>
      </c>
      <c r="G71" s="566">
        <f>G59+G60+G61+G69+G70</f>
        <v>28071</v>
      </c>
      <c r="H71" s="567">
        <f>H59+H60+H61+H69+H70</f>
        <v>32647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</v>
      </c>
      <c r="D73" s="188">
        <v>1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5</v>
      </c>
      <c r="D74" s="188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46802</v>
      </c>
      <c r="D76" s="567">
        <f>SUM(D68:D75)</f>
        <v>59728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3620</v>
      </c>
      <c r="D79" s="565">
        <f>SUM(D80:D82)</f>
        <v>981</v>
      </c>
      <c r="E79" s="196" t="s">
        <v>824</v>
      </c>
      <c r="F79" s="93" t="s">
        <v>241</v>
      </c>
      <c r="G79" s="568">
        <f>G71+G73+G75+G77</f>
        <v>28071</v>
      </c>
      <c r="H79" s="569">
        <f>H71+H73+H75+H77</f>
        <v>32647</v>
      </c>
    </row>
    <row r="80" spans="1:8" ht="1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3620</v>
      </c>
      <c r="D82" s="188">
        <v>981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18728</v>
      </c>
      <c r="D84" s="188">
        <v>17185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22348</v>
      </c>
      <c r="D85" s="567">
        <f>D84+D83+D79</f>
        <v>18166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</v>
      </c>
      <c r="D88" s="188">
        <v>12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255</v>
      </c>
      <c r="D89" s="188">
        <v>363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290</v>
      </c>
      <c r="D91" s="188">
        <v>300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551</v>
      </c>
      <c r="D92" s="567">
        <f>SUM(D88:D91)</f>
        <v>675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646+187</f>
        <v>833</v>
      </c>
      <c r="D93" s="466">
        <v>1051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70576</v>
      </c>
      <c r="D94" s="571">
        <f>D65+D76+D85+D92+D93</f>
        <v>79660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98941</v>
      </c>
      <c r="D95" s="573">
        <f>D94+D56</f>
        <v>102768</v>
      </c>
      <c r="E95" s="220" t="s">
        <v>916</v>
      </c>
      <c r="F95" s="476" t="s">
        <v>268</v>
      </c>
      <c r="G95" s="572">
        <f>G37+G40+G56+G79</f>
        <v>98941</v>
      </c>
      <c r="H95" s="573">
        <f>H37+H40+H56+H79</f>
        <v>102768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71">
        <f>pdeReportingDate</f>
        <v>44357</v>
      </c>
      <c r="C98" s="671"/>
      <c r="D98" s="671"/>
      <c r="E98" s="671"/>
      <c r="F98" s="671"/>
      <c r="G98" s="671"/>
      <c r="H98" s="671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952</v>
      </c>
      <c r="C103" s="670"/>
      <c r="D103" s="670"/>
      <c r="E103" s="670"/>
      <c r="M103" s="92"/>
    </row>
    <row r="104" spans="1:5" ht="21.75" customHeight="1">
      <c r="A104" s="663"/>
      <c r="B104" s="670" t="s">
        <v>952</v>
      </c>
      <c r="C104" s="670"/>
      <c r="D104" s="670"/>
      <c r="E104" s="670"/>
    </row>
    <row r="105" spans="1:13" ht="21.75" customHeight="1">
      <c r="A105" s="663"/>
      <c r="B105" s="670" t="s">
        <v>952</v>
      </c>
      <c r="C105" s="670"/>
      <c r="D105" s="670"/>
      <c r="E105" s="670"/>
      <c r="M105" s="92"/>
    </row>
    <row r="106" spans="1:5" ht="21.75" customHeight="1">
      <c r="A106" s="663"/>
      <c r="B106" s="670" t="s">
        <v>952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7">
        <v>17</v>
      </c>
      <c r="E12" s="185" t="s">
        <v>277</v>
      </c>
      <c r="F12" s="231" t="s">
        <v>278</v>
      </c>
      <c r="G12" s="307"/>
      <c r="H12" s="307"/>
    </row>
    <row r="13" spans="1:8" ht="15">
      <c r="A13" s="185" t="s">
        <v>279</v>
      </c>
      <c r="B13" s="181" t="s">
        <v>280</v>
      </c>
      <c r="C13" s="307">
        <v>397</v>
      </c>
      <c r="D13" s="307">
        <v>336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130</v>
      </c>
      <c r="D14" s="307">
        <v>563</v>
      </c>
      <c r="E14" s="236" t="s">
        <v>285</v>
      </c>
      <c r="F14" s="231" t="s">
        <v>286</v>
      </c>
      <c r="G14" s="307">
        <v>25</v>
      </c>
      <c r="H14" s="307">
        <v>145</v>
      </c>
    </row>
    <row r="15" spans="1:8" ht="15">
      <c r="A15" s="185" t="s">
        <v>287</v>
      </c>
      <c r="B15" s="181" t="s">
        <v>288</v>
      </c>
      <c r="C15" s="307">
        <v>115</v>
      </c>
      <c r="D15" s="307">
        <v>97</v>
      </c>
      <c r="E15" s="236" t="s">
        <v>79</v>
      </c>
      <c r="F15" s="231" t="s">
        <v>289</v>
      </c>
      <c r="G15" s="307">
        <f>289+691</f>
        <v>980</v>
      </c>
      <c r="H15" s="307">
        <v>9274</v>
      </c>
    </row>
    <row r="16" spans="1:8" ht="15.75">
      <c r="A16" s="185" t="s">
        <v>290</v>
      </c>
      <c r="B16" s="181" t="s">
        <v>291</v>
      </c>
      <c r="C16" s="307">
        <v>17</v>
      </c>
      <c r="D16" s="307">
        <v>15</v>
      </c>
      <c r="E16" s="227" t="s">
        <v>52</v>
      </c>
      <c r="F16" s="255" t="s">
        <v>292</v>
      </c>
      <c r="G16" s="597">
        <f>SUM(G12:G15)</f>
        <v>1005</v>
      </c>
      <c r="H16" s="598">
        <f>SUM(H12:H15)</f>
        <v>9419</v>
      </c>
    </row>
    <row r="17" spans="1:8" ht="30.75">
      <c r="A17" s="185" t="s">
        <v>293</v>
      </c>
      <c r="B17" s="181" t="s">
        <v>294</v>
      </c>
      <c r="C17" s="307"/>
      <c r="D17" s="307">
        <v>6281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f>641+103</f>
        <v>744</v>
      </c>
      <c r="D19" s="307">
        <v>2305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641</v>
      </c>
      <c r="D20" s="307">
        <v>2217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1404</v>
      </c>
      <c r="D22" s="598">
        <f>SUM(D12:D18)+D19</f>
        <v>9614</v>
      </c>
      <c r="E22" s="185" t="s">
        <v>309</v>
      </c>
      <c r="F22" s="228" t="s">
        <v>310</v>
      </c>
      <c r="G22" s="307">
        <v>2981</v>
      </c>
      <c r="H22" s="307">
        <v>4109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354</v>
      </c>
      <c r="H23" s="307">
        <v>147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119+1206+1062</f>
        <v>2387</v>
      </c>
      <c r="H24" s="307">
        <v>1847</v>
      </c>
    </row>
    <row r="25" spans="1:8" ht="30.75">
      <c r="A25" s="185" t="s">
        <v>316</v>
      </c>
      <c r="B25" s="228" t="s">
        <v>317</v>
      </c>
      <c r="C25" s="307">
        <v>3540</v>
      </c>
      <c r="D25" s="307">
        <v>3242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f>230+368</f>
        <v>598</v>
      </c>
      <c r="D26" s="307">
        <v>833</v>
      </c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5722</v>
      </c>
      <c r="H27" s="598">
        <f>SUM(H22:H26)</f>
        <v>6103</v>
      </c>
    </row>
    <row r="28" spans="1:8" ht="15">
      <c r="A28" s="185" t="s">
        <v>79</v>
      </c>
      <c r="B28" s="228" t="s">
        <v>327</v>
      </c>
      <c r="C28" s="307">
        <v>38</v>
      </c>
      <c r="D28" s="307">
        <v>41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4176</v>
      </c>
      <c r="D29" s="598">
        <f>SUM(D25:D28)</f>
        <v>4116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5580</v>
      </c>
      <c r="D31" s="604">
        <f>D29+D22</f>
        <v>13730</v>
      </c>
      <c r="E31" s="242" t="s">
        <v>800</v>
      </c>
      <c r="F31" s="257" t="s">
        <v>331</v>
      </c>
      <c r="G31" s="244">
        <f>G16+G18+G27</f>
        <v>6727</v>
      </c>
      <c r="H31" s="245">
        <f>H16+H18+H27</f>
        <v>15522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1147</v>
      </c>
      <c r="D33" s="235">
        <f>IF((H31-D31)&gt;0,H31-D31,0)</f>
        <v>1792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5580</v>
      </c>
      <c r="D36" s="606">
        <f>D31-D34+D35</f>
        <v>13730</v>
      </c>
      <c r="E36" s="253" t="s">
        <v>346</v>
      </c>
      <c r="F36" s="247" t="s">
        <v>347</v>
      </c>
      <c r="G36" s="258">
        <f>G35-G34+G31</f>
        <v>6727</v>
      </c>
      <c r="H36" s="259">
        <f>H35-H34+H31</f>
        <v>15522</v>
      </c>
    </row>
    <row r="37" spans="1:8" ht="15.75">
      <c r="A37" s="252" t="s">
        <v>348</v>
      </c>
      <c r="B37" s="222" t="s">
        <v>349</v>
      </c>
      <c r="C37" s="603">
        <f>IF((G36-C36)&gt;0,G36-C36,0)</f>
        <v>1147</v>
      </c>
      <c r="D37" s="604">
        <f>IF((H36-D36)&gt;0,H36-D36,0)</f>
        <v>1792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79</v>
      </c>
      <c r="D38" s="598">
        <f>D39+D40+D41</f>
        <v>93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19</v>
      </c>
      <c r="D39" s="307">
        <v>105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60</v>
      </c>
      <c r="D40" s="307">
        <v>-12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7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1068</v>
      </c>
      <c r="D42" s="235">
        <f>+IF((H36-D36-D38)&gt;0,H36-D36-D38,0)</f>
        <v>1699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14</v>
      </c>
      <c r="D43" s="308">
        <v>47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1054</v>
      </c>
      <c r="D44" s="259">
        <f>IF(H42=0,IF(D42-D43&gt;0,D42-D43+H43,0),IF(H42-H43&lt;0,H43-H42+D42,0))</f>
        <v>1652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6727</v>
      </c>
      <c r="D45" s="600">
        <f>D36+D38+D42</f>
        <v>15522</v>
      </c>
      <c r="E45" s="261" t="s">
        <v>373</v>
      </c>
      <c r="F45" s="263" t="s">
        <v>374</v>
      </c>
      <c r="G45" s="599">
        <f>G42+G36</f>
        <v>6727</v>
      </c>
      <c r="H45" s="600">
        <f>H42+H36</f>
        <v>15522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71">
        <f>pdeReportingDate</f>
        <v>44357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952</v>
      </c>
      <c r="C58" s="670"/>
      <c r="D58" s="670"/>
      <c r="E58" s="670"/>
      <c r="F58" s="543"/>
      <c r="G58" s="44"/>
      <c r="H58" s="41"/>
    </row>
    <row r="59" spans="1:8" ht="15">
      <c r="A59" s="663"/>
      <c r="B59" s="670"/>
      <c r="C59" s="670"/>
      <c r="D59" s="670"/>
      <c r="E59" s="670"/>
      <c r="F59" s="543"/>
      <c r="G59" s="44"/>
      <c r="H59" s="41"/>
    </row>
    <row r="60" spans="1:8" ht="15">
      <c r="A60" s="663"/>
      <c r="B60" s="670"/>
      <c r="C60" s="670"/>
      <c r="D60" s="670"/>
      <c r="E60" s="670"/>
      <c r="F60" s="543"/>
      <c r="G60" s="44"/>
      <c r="H60" s="41"/>
    </row>
    <row r="61" spans="1:8" ht="15">
      <c r="A61" s="663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</v>
      </c>
      <c r="D11" s="188">
        <v>140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-244</v>
      </c>
      <c r="D12" s="188">
        <v>-258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-120</v>
      </c>
      <c r="D14" s="188">
        <v>-104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>
        <v>1642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-594</v>
      </c>
      <c r="D16" s="188">
        <v>-43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8">
        <v>-37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-955</v>
      </c>
      <c r="D21" s="628">
        <f>SUM(D11:D20)</f>
        <v>1340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-2500</v>
      </c>
      <c r="D23" s="188">
        <v>-13943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f>5515+360</f>
        <v>5875</v>
      </c>
      <c r="D24" s="188">
        <v>10684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-602</v>
      </c>
      <c r="D25" s="188">
        <v>-11913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330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1275</v>
      </c>
      <c r="D27" s="188">
        <v>1423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-17325</v>
      </c>
      <c r="D28" s="188">
        <v>-35866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16634</v>
      </c>
      <c r="D29" s="188">
        <v>16913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354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29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3740</v>
      </c>
      <c r="D33" s="628">
        <f>SUM(D23:D32)</f>
        <v>-32372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22418</v>
      </c>
      <c r="D37" s="188">
        <f>20230+27840</f>
        <v>48070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-21983</v>
      </c>
      <c r="D38" s="188">
        <f>-10553-1755</f>
        <v>-12308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-3325</v>
      </c>
      <c r="D40" s="188">
        <v>-3407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-19</v>
      </c>
      <c r="D42" s="188">
        <v>-662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-2909</v>
      </c>
      <c r="D43" s="630">
        <f>SUM(D35:D42)</f>
        <v>31693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-124</v>
      </c>
      <c r="D44" s="298">
        <f>D43+D33+D21</f>
        <v>661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675</v>
      </c>
      <c r="D45" s="300">
        <v>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551</v>
      </c>
      <c r="D46" s="302">
        <f>D45+D44</f>
        <v>675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551</v>
      </c>
      <c r="D47" s="289">
        <v>675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5" t="s">
        <v>947</v>
      </c>
      <c r="B51" s="675"/>
      <c r="C51" s="675"/>
      <c r="D51" s="675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71">
        <f>pdeReportingDate</f>
        <v>44357</v>
      </c>
      <c r="C54" s="671"/>
      <c r="D54" s="671"/>
      <c r="E54" s="671"/>
      <c r="F54" s="664"/>
      <c r="G54" s="664"/>
      <c r="H54" s="664"/>
      <c r="M54" s="92"/>
    </row>
    <row r="55" spans="1:13" s="41" customFormat="1" ht="1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3"/>
      <c r="B59" s="670" t="s">
        <v>952</v>
      </c>
      <c r="C59" s="670"/>
      <c r="D59" s="670"/>
      <c r="E59" s="670"/>
      <c r="F59" s="543"/>
      <c r="G59" s="44"/>
      <c r="H59" s="41"/>
    </row>
    <row r="60" spans="1:8" ht="15">
      <c r="A60" s="663"/>
      <c r="B60" s="670" t="s">
        <v>952</v>
      </c>
      <c r="C60" s="670"/>
      <c r="D60" s="670"/>
      <c r="E60" s="670"/>
      <c r="F60" s="543"/>
      <c r="G60" s="44"/>
      <c r="H60" s="41"/>
    </row>
    <row r="61" spans="1:8" ht="15">
      <c r="A61" s="663"/>
      <c r="B61" s="670" t="s">
        <v>952</v>
      </c>
      <c r="C61" s="670"/>
      <c r="D61" s="670"/>
      <c r="E61" s="670"/>
      <c r="F61" s="543"/>
      <c r="G61" s="44"/>
      <c r="H61" s="41"/>
    </row>
    <row r="62" spans="1:8" ht="15">
      <c r="A62" s="663"/>
      <c r="B62" s="670" t="s">
        <v>952</v>
      </c>
      <c r="C62" s="670"/>
      <c r="D62" s="670"/>
      <c r="E62" s="670"/>
      <c r="F62" s="543"/>
      <c r="G62" s="44"/>
      <c r="H62" s="41"/>
    </row>
    <row r="63" spans="1:8" ht="15">
      <c r="A63" s="663"/>
      <c r="B63" s="670"/>
      <c r="C63" s="670"/>
      <c r="D63" s="670"/>
      <c r="E63" s="670"/>
      <c r="F63" s="543"/>
      <c r="G63" s="44"/>
      <c r="H63" s="41"/>
    </row>
    <row r="64" spans="1:8" ht="15">
      <c r="A64" s="663"/>
      <c r="B64" s="670"/>
      <c r="C64" s="670"/>
      <c r="D64" s="670"/>
      <c r="E64" s="670"/>
      <c r="F64" s="543"/>
      <c r="G64" s="44"/>
      <c r="H64" s="41"/>
    </row>
    <row r="65" spans="1:8" ht="15">
      <c r="A65" s="663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9595</v>
      </c>
      <c r="J13" s="553">
        <f>'1-Баланс'!H30+'1-Баланс'!H33</f>
        <v>-3903</v>
      </c>
      <c r="K13" s="554"/>
      <c r="L13" s="553">
        <f>SUM(C13:K13)</f>
        <v>23521</v>
      </c>
      <c r="M13" s="555">
        <f>'1-Баланс'!H40</f>
        <v>320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9595</v>
      </c>
      <c r="J17" s="622">
        <f t="shared" si="2"/>
        <v>-3903</v>
      </c>
      <c r="K17" s="622">
        <f t="shared" si="2"/>
        <v>0</v>
      </c>
      <c r="L17" s="553">
        <f t="shared" si="1"/>
        <v>23521</v>
      </c>
      <c r="M17" s="623">
        <f t="shared" si="2"/>
        <v>320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1054</v>
      </c>
      <c r="J18" s="553">
        <f>+'1-Баланс'!G33</f>
        <v>0</v>
      </c>
      <c r="K18" s="554"/>
      <c r="L18" s="553">
        <f t="shared" si="1"/>
        <v>1054</v>
      </c>
      <c r="M18" s="607">
        <v>14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-2</v>
      </c>
      <c r="J30" s="307"/>
      <c r="K30" s="307"/>
      <c r="L30" s="553">
        <f t="shared" si="1"/>
        <v>-2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10647</v>
      </c>
      <c r="J31" s="622">
        <f t="shared" si="6"/>
        <v>-3903</v>
      </c>
      <c r="K31" s="622">
        <f t="shared" si="6"/>
        <v>0</v>
      </c>
      <c r="L31" s="553">
        <f t="shared" si="1"/>
        <v>24573</v>
      </c>
      <c r="M31" s="623">
        <f t="shared" si="6"/>
        <v>334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10647</v>
      </c>
      <c r="J34" s="556">
        <f t="shared" si="7"/>
        <v>-3903</v>
      </c>
      <c r="K34" s="556">
        <f t="shared" si="7"/>
        <v>0</v>
      </c>
      <c r="L34" s="620">
        <f t="shared" si="1"/>
        <v>24573</v>
      </c>
      <c r="M34" s="557">
        <f>M31+M32+M33</f>
        <v>334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71">
        <f>pdeReportingDate</f>
        <v>44357</v>
      </c>
      <c r="C38" s="671"/>
      <c r="D38" s="671"/>
      <c r="E38" s="671"/>
      <c r="F38" s="671"/>
      <c r="G38" s="671"/>
      <c r="H38" s="671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3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">
      <c r="A44" s="663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">
      <c r="A45" s="663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">
      <c r="A46" s="663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3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K27" sqref="K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1738</v>
      </c>
      <c r="E11" s="319"/>
      <c r="F11" s="319">
        <f>1289+404</f>
        <v>1693</v>
      </c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2193</v>
      </c>
      <c r="E12" s="319"/>
      <c r="F12" s="319">
        <f>602+827</f>
        <v>1429</v>
      </c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384</v>
      </c>
      <c r="L12" s="319">
        <f>31+8+8</f>
        <v>47</v>
      </c>
      <c r="M12" s="319">
        <f>41+328</f>
        <v>369</v>
      </c>
      <c r="N12" s="320">
        <f aca="true" t="shared" si="4" ref="N12:N41">K12+L12-M12</f>
        <v>62</v>
      </c>
      <c r="O12" s="319"/>
      <c r="P12" s="319"/>
      <c r="Q12" s="320">
        <f t="shared" si="0"/>
        <v>62</v>
      </c>
      <c r="R12" s="331">
        <f t="shared" si="1"/>
        <v>702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2365</v>
      </c>
      <c r="E13" s="319"/>
      <c r="F13" s="319">
        <v>2358</v>
      </c>
      <c r="G13" s="320">
        <f t="shared" si="2"/>
        <v>7</v>
      </c>
      <c r="H13" s="319"/>
      <c r="I13" s="319"/>
      <c r="J13" s="320">
        <f t="shared" si="3"/>
        <v>7</v>
      </c>
      <c r="K13" s="319">
        <v>1153</v>
      </c>
      <c r="L13" s="319">
        <v>44</v>
      </c>
      <c r="M13" s="319">
        <f>1+1189</f>
        <v>1190</v>
      </c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815</v>
      </c>
      <c r="E14" s="319"/>
      <c r="F14" s="319">
        <f>13+802</f>
        <v>815</v>
      </c>
      <c r="G14" s="320">
        <f t="shared" si="2"/>
        <v>0</v>
      </c>
      <c r="H14" s="319"/>
      <c r="I14" s="319"/>
      <c r="J14" s="320">
        <f t="shared" si="3"/>
        <v>0</v>
      </c>
      <c r="K14" s="319">
        <v>505</v>
      </c>
      <c r="L14" s="319">
        <v>36</v>
      </c>
      <c r="M14" s="319">
        <v>541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44</v>
      </c>
      <c r="E15" s="319"/>
      <c r="F15" s="319">
        <v>44</v>
      </c>
      <c r="G15" s="320">
        <f t="shared" si="2"/>
        <v>0</v>
      </c>
      <c r="H15" s="319"/>
      <c r="I15" s="319"/>
      <c r="J15" s="320">
        <f t="shared" si="3"/>
        <v>0</v>
      </c>
      <c r="K15" s="319">
        <v>12</v>
      </c>
      <c r="L15" s="319">
        <v>2</v>
      </c>
      <c r="M15" s="319">
        <v>14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46</v>
      </c>
      <c r="E18" s="319"/>
      <c r="F18" s="319">
        <v>46</v>
      </c>
      <c r="G18" s="320">
        <f t="shared" si="2"/>
        <v>0</v>
      </c>
      <c r="H18" s="319"/>
      <c r="I18" s="319"/>
      <c r="J18" s="320">
        <f t="shared" si="3"/>
        <v>0</v>
      </c>
      <c r="K18" s="319">
        <v>45</v>
      </c>
      <c r="L18" s="319"/>
      <c r="M18" s="319">
        <v>45</v>
      </c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7201</v>
      </c>
      <c r="E19" s="321">
        <f>SUM(E11:E18)</f>
        <v>0</v>
      </c>
      <c r="F19" s="321">
        <f>SUM(F11:F18)</f>
        <v>6385</v>
      </c>
      <c r="G19" s="320">
        <f t="shared" si="2"/>
        <v>816</v>
      </c>
      <c r="H19" s="321">
        <f>SUM(H11:H18)</f>
        <v>0</v>
      </c>
      <c r="I19" s="321">
        <f>SUM(I11:I18)</f>
        <v>0</v>
      </c>
      <c r="J19" s="320">
        <f t="shared" si="3"/>
        <v>816</v>
      </c>
      <c r="K19" s="321">
        <f>SUM(K11:K18)</f>
        <v>2099</v>
      </c>
      <c r="L19" s="321">
        <f>SUM(L11:L18)</f>
        <v>129</v>
      </c>
      <c r="M19" s="321">
        <f>SUM(M11:M18)</f>
        <v>2159</v>
      </c>
      <c r="N19" s="320">
        <f t="shared" si="4"/>
        <v>69</v>
      </c>
      <c r="O19" s="321">
        <f>SUM(O11:O18)</f>
        <v>0</v>
      </c>
      <c r="P19" s="321">
        <f>SUM(P11:P18)</f>
        <v>0</v>
      </c>
      <c r="Q19" s="320">
        <f t="shared" si="0"/>
        <v>69</v>
      </c>
      <c r="R19" s="331">
        <f t="shared" si="1"/>
        <v>747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8360</v>
      </c>
      <c r="E20" s="319">
        <v>2918</v>
      </c>
      <c r="F20" s="319"/>
      <c r="G20" s="320">
        <f t="shared" si="2"/>
        <v>11278</v>
      </c>
      <c r="H20" s="319">
        <v>690</v>
      </c>
      <c r="I20" s="319"/>
      <c r="J20" s="320">
        <f t="shared" si="3"/>
        <v>11968</v>
      </c>
      <c r="K20" s="319"/>
      <c r="L20" s="319"/>
      <c r="M20" s="319"/>
      <c r="N20" s="320">
        <f t="shared" si="4"/>
        <v>0</v>
      </c>
      <c r="O20" s="319"/>
      <c r="P20" s="319"/>
      <c r="Q20" s="668">
        <f>N20+O20-P20</f>
        <v>0</v>
      </c>
      <c r="R20" s="669">
        <f>J20-Q20</f>
        <v>11968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193</v>
      </c>
      <c r="E26" s="319"/>
      <c r="F26" s="319">
        <v>193</v>
      </c>
      <c r="G26" s="320">
        <f t="shared" si="2"/>
        <v>0</v>
      </c>
      <c r="H26" s="319"/>
      <c r="I26" s="319"/>
      <c r="J26" s="320">
        <f t="shared" si="3"/>
        <v>0</v>
      </c>
      <c r="K26" s="319">
        <v>117</v>
      </c>
      <c r="L26" s="319">
        <v>1</v>
      </c>
      <c r="M26" s="319">
        <v>118</v>
      </c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193</v>
      </c>
      <c r="E27" s="323">
        <f aca="true" t="shared" si="5" ref="E27:P27">SUM(E23:E26)</f>
        <v>0</v>
      </c>
      <c r="F27" s="323">
        <f t="shared" si="5"/>
        <v>193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117</v>
      </c>
      <c r="L27" s="323">
        <f t="shared" si="5"/>
        <v>1</v>
      </c>
      <c r="M27" s="323">
        <f t="shared" si="5"/>
        <v>118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9443</v>
      </c>
      <c r="E41" s="319"/>
      <c r="F41" s="319">
        <v>9443</v>
      </c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25325</v>
      </c>
      <c r="E42" s="340">
        <f>E19+E20+E21+E27+E40+E41</f>
        <v>2918</v>
      </c>
      <c r="F42" s="340">
        <f aca="true" t="shared" si="11" ref="F42:R42">F19+F20+F21+F27+F40+F41</f>
        <v>16021</v>
      </c>
      <c r="G42" s="340">
        <f t="shared" si="11"/>
        <v>12222</v>
      </c>
      <c r="H42" s="340">
        <f t="shared" si="11"/>
        <v>690</v>
      </c>
      <c r="I42" s="340">
        <f t="shared" si="11"/>
        <v>0</v>
      </c>
      <c r="J42" s="340">
        <f t="shared" si="11"/>
        <v>12912</v>
      </c>
      <c r="K42" s="340">
        <f t="shared" si="11"/>
        <v>2216</v>
      </c>
      <c r="L42" s="340">
        <f t="shared" si="11"/>
        <v>130</v>
      </c>
      <c r="M42" s="340">
        <f t="shared" si="11"/>
        <v>2277</v>
      </c>
      <c r="N42" s="340">
        <f t="shared" si="11"/>
        <v>69</v>
      </c>
      <c r="O42" s="340">
        <f t="shared" si="11"/>
        <v>0</v>
      </c>
      <c r="P42" s="340">
        <f t="shared" si="11"/>
        <v>0</v>
      </c>
      <c r="Q42" s="340">
        <f t="shared" si="11"/>
        <v>69</v>
      </c>
      <c r="R42" s="341">
        <f t="shared" si="11"/>
        <v>12843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71">
        <f>pdeReportingDate</f>
        <v>44357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3"/>
      <c r="C50" s="670" t="s">
        <v>952</v>
      </c>
      <c r="D50" s="670"/>
      <c r="E50" s="670"/>
      <c r="F50" s="670"/>
      <c r="G50" s="543"/>
      <c r="H50" s="44"/>
      <c r="I50" s="41"/>
    </row>
    <row r="51" spans="2:9" ht="15">
      <c r="B51" s="663"/>
      <c r="C51" s="670" t="s">
        <v>952</v>
      </c>
      <c r="D51" s="670"/>
      <c r="E51" s="670"/>
      <c r="F51" s="670"/>
      <c r="G51" s="543"/>
      <c r="H51" s="44"/>
      <c r="I51" s="41"/>
    </row>
    <row r="52" spans="2:9" ht="15">
      <c r="B52" s="663"/>
      <c r="C52" s="670" t="s">
        <v>952</v>
      </c>
      <c r="D52" s="670"/>
      <c r="E52" s="670"/>
      <c r="F52" s="670"/>
      <c r="G52" s="543"/>
      <c r="H52" s="44"/>
      <c r="I52" s="41"/>
    </row>
    <row r="53" spans="2:9" ht="15">
      <c r="B53" s="663"/>
      <c r="C53" s="670" t="s">
        <v>952</v>
      </c>
      <c r="D53" s="670"/>
      <c r="E53" s="670"/>
      <c r="F53" s="670"/>
      <c r="G53" s="543"/>
      <c r="H53" s="44"/>
      <c r="I53" s="41"/>
    </row>
    <row r="54" spans="2:9" ht="15">
      <c r="B54" s="663"/>
      <c r="C54" s="670"/>
      <c r="D54" s="670"/>
      <c r="E54" s="670"/>
      <c r="F54" s="670"/>
      <c r="G54" s="543"/>
      <c r="H54" s="44"/>
      <c r="I54" s="41"/>
    </row>
    <row r="55" spans="2:9" ht="15">
      <c r="B55" s="663"/>
      <c r="C55" s="670"/>
      <c r="D55" s="670"/>
      <c r="E55" s="670"/>
      <c r="F55" s="670"/>
      <c r="G55" s="543"/>
      <c r="H55" s="44"/>
      <c r="I55" s="41"/>
    </row>
    <row r="56" spans="2:9" ht="15">
      <c r="B56" s="663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13</v>
      </c>
      <c r="D30" s="359">
        <v>13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7065</v>
      </c>
      <c r="D31" s="359">
        <v>7065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55226</v>
      </c>
      <c r="D32" s="359">
        <v>39704</v>
      </c>
      <c r="E32" s="360">
        <f t="shared" si="0"/>
        <v>15522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15</v>
      </c>
      <c r="D37" s="359">
        <v>15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62324</v>
      </c>
      <c r="D45" s="429">
        <f>D26+D30+D31+D33+D32+D34+D35+D40</f>
        <v>46802</v>
      </c>
      <c r="E45" s="430">
        <f>E26+E30+E31+E33+E32+E34+E35+E40</f>
        <v>15522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62324</v>
      </c>
      <c r="D46" s="435">
        <f>D45+D23+D21+D11</f>
        <v>46802</v>
      </c>
      <c r="E46" s="436">
        <f>E45+E23+E21+E11</f>
        <v>15522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4396</v>
      </c>
      <c r="D58" s="129">
        <f>D59+D61</f>
        <v>631</v>
      </c>
      <c r="E58" s="127">
        <f t="shared" si="1"/>
        <v>3765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4396</v>
      </c>
      <c r="D59" s="188">
        <v>631</v>
      </c>
      <c r="E59" s="127">
        <f t="shared" si="1"/>
        <v>3765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42000</v>
      </c>
      <c r="D66" s="188"/>
      <c r="E66" s="127">
        <f t="shared" si="1"/>
        <v>42000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46396</v>
      </c>
      <c r="D68" s="426">
        <f>D54+D58+D63+D64+D65+D66</f>
        <v>631</v>
      </c>
      <c r="E68" s="427">
        <f t="shared" si="1"/>
        <v>45765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198</v>
      </c>
      <c r="D70" s="188"/>
      <c r="E70" s="127">
        <f t="shared" si="1"/>
        <v>198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548</v>
      </c>
      <c r="D82" s="129">
        <f>SUM(D83:D86)</f>
        <v>548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548</v>
      </c>
      <c r="D84" s="188">
        <v>548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26889</v>
      </c>
      <c r="D87" s="125">
        <f>SUM(D88:D92)+D96</f>
        <v>26889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23403</v>
      </c>
      <c r="D88" s="188">
        <v>23403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3460</v>
      </c>
      <c r="D89" s="188">
        <v>3460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20</v>
      </c>
      <c r="D92" s="129">
        <f>SUM(D93:D95)</f>
        <v>20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19</v>
      </c>
      <c r="D93" s="188">
        <v>19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27440</v>
      </c>
      <c r="D98" s="424">
        <f>D87+D82+D77+D73+D97</f>
        <v>27440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74034</v>
      </c>
      <c r="D99" s="418">
        <f>D98+D70+D68</f>
        <v>28071</v>
      </c>
      <c r="E99" s="418">
        <f>E98+E70+E68</f>
        <v>45963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71">
        <f>pdeReportingDate</f>
        <v>44357</v>
      </c>
      <c r="C111" s="671"/>
      <c r="D111" s="671"/>
      <c r="E111" s="671"/>
      <c r="F111" s="671"/>
      <c r="G111" s="51"/>
      <c r="H111" s="51"/>
    </row>
    <row r="112" spans="1:8" ht="15">
      <c r="A112" s="661"/>
      <c r="B112" s="671"/>
      <c r="C112" s="671"/>
      <c r="D112" s="671"/>
      <c r="E112" s="671"/>
      <c r="F112" s="671"/>
      <c r="G112" s="51"/>
      <c r="H112" s="51"/>
    </row>
    <row r="113" spans="1:8" ht="1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">
      <c r="A114" s="662"/>
      <c r="B114" s="672"/>
      <c r="C114" s="672"/>
      <c r="D114" s="672"/>
      <c r="E114" s="672"/>
      <c r="F114" s="672"/>
      <c r="G114" s="75"/>
      <c r="H114" s="75"/>
    </row>
    <row r="115" spans="1:8" ht="1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952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952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952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952</v>
      </c>
      <c r="C119" s="670"/>
      <c r="D119" s="670"/>
      <c r="E119" s="670"/>
      <c r="F119" s="670"/>
      <c r="G119" s="663"/>
      <c r="H119" s="663"/>
    </row>
    <row r="120" spans="1:8" ht="15">
      <c r="A120" s="663"/>
      <c r="B120" s="670"/>
      <c r="C120" s="670"/>
      <c r="D120" s="670"/>
      <c r="E120" s="670"/>
      <c r="F120" s="670"/>
      <c r="G120" s="663"/>
      <c r="H120" s="663"/>
    </row>
    <row r="121" spans="1:8" ht="15">
      <c r="A121" s="663"/>
      <c r="B121" s="670"/>
      <c r="C121" s="670"/>
      <c r="D121" s="670"/>
      <c r="E121" s="670"/>
      <c r="F121" s="670"/>
      <c r="G121" s="663"/>
      <c r="H121" s="663"/>
    </row>
    <row r="122" spans="1:8" ht="1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f>1692636+807343</f>
        <v>2499979</v>
      </c>
      <c r="D20" s="440"/>
      <c r="E20" s="440"/>
      <c r="F20" s="440">
        <f>10683+9939</f>
        <v>20622</v>
      </c>
      <c r="G20" s="440">
        <f>855+321</f>
        <v>1176</v>
      </c>
      <c r="H20" s="440">
        <f>342+1</f>
        <v>343</v>
      </c>
      <c r="I20" s="441">
        <f t="shared" si="0"/>
        <v>21455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f>60167+45000</f>
        <v>105167</v>
      </c>
      <c r="D26" s="440"/>
      <c r="E26" s="440"/>
      <c r="F26" s="440">
        <f>56+832</f>
        <v>888</v>
      </c>
      <c r="G26" s="440">
        <f>4+26</f>
        <v>30</v>
      </c>
      <c r="H26" s="440">
        <v>25</v>
      </c>
      <c r="I26" s="441">
        <f t="shared" si="0"/>
        <v>893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2605146</v>
      </c>
      <c r="D27" s="447">
        <f t="shared" si="2"/>
        <v>0</v>
      </c>
      <c r="E27" s="447">
        <f t="shared" si="2"/>
        <v>0</v>
      </c>
      <c r="F27" s="447">
        <f t="shared" si="2"/>
        <v>21510</v>
      </c>
      <c r="G27" s="447">
        <f t="shared" si="2"/>
        <v>1206</v>
      </c>
      <c r="H27" s="447">
        <f t="shared" si="2"/>
        <v>368</v>
      </c>
      <c r="I27" s="448">
        <f t="shared" si="0"/>
        <v>22348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71">
        <f>pdeReportingDate</f>
        <v>44357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98941</v>
      </c>
      <c r="D6" s="644">
        <f aca="true" t="shared" si="0" ref="D6:D15">C6-E6</f>
        <v>0</v>
      </c>
      <c r="E6" s="643">
        <f>'1-Баланс'!G95</f>
        <v>98941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24573</v>
      </c>
      <c r="D7" s="644">
        <f t="shared" si="0"/>
        <v>13877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1054</v>
      </c>
      <c r="D8" s="644">
        <f t="shared" si="0"/>
        <v>0</v>
      </c>
      <c r="E8" s="643">
        <f>ABS('2-Отчет за доходите'!C44)-ABS('2-Отчет за доходите'!G44)</f>
        <v>1054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675</v>
      </c>
      <c r="D9" s="644">
        <f t="shared" si="0"/>
        <v>0</v>
      </c>
      <c r="E9" s="643">
        <f>'3-Отчет за паричния поток'!C45</f>
        <v>675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551</v>
      </c>
      <c r="D10" s="644">
        <f t="shared" si="0"/>
        <v>0</v>
      </c>
      <c r="E10" s="643">
        <f>'3-Отчет за паричния поток'!C46</f>
        <v>551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24573</v>
      </c>
      <c r="D11" s="644">
        <f t="shared" si="0"/>
        <v>0</v>
      </c>
      <c r="E11" s="643">
        <f>'4-Отчет за собствения капитал'!L34</f>
        <v>24573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2021-06-17T14:20:14Z</dcterms:modified>
  <cp:category/>
  <cp:version/>
  <cp:contentType/>
  <cp:contentStatus/>
</cp:coreProperties>
</file>