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065" tabRatio="814" firstSheet="5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r:id="rId10"/>
    <sheet name="Показатели" sheetId="11" r:id="rId11"/>
    <sheet name="Danni" sheetId="12" r:id="rId12"/>
    <sheet name="Nomenklaturi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<sst xmlns="http://schemas.openxmlformats.org/spreadsheetml/2006/main" count="4326" uniqueCount="1006">
  <si>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</si>
  <si>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</si>
  <si>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</si>
  <si>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</si>
  <si>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</si>
  <si>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</si>
  <si>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</si>
  <si>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</si>
  <si>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</si>
  <si>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</si>
  <si>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</si>
  <si>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</si>
  <si>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</si>
  <si>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</si>
  <si>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</si>
  <si>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</si>
  <si>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</si>
  <si>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</si>
  <si>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</si>
  <si>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</si>
  <si>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</si>
  <si>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</si>
  <si>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</si>
  <si>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</si>
  <si>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</si>
  <si>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</si>
  <si>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</si>
  <si>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</si>
  <si>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</si>
  <si>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</si>
  <si>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</si>
  <si>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</si>
  <si>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</si>
  <si>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</si>
  <si>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</si>
  <si>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</si>
  <si>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</si>
  <si>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</si>
  <si>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</si>
  <si>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</si>
  <si>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</si>
  <si>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</si>
  <si>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</si>
  <si>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</si>
  <si>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</si>
  <si>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</si>
  <si>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</si>
  <si>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</si>
  <si>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</si>
  <si>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</si>
  <si>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</si>
  <si>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</si>
  <si>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</si>
  <si>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</si>
  <si>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</si>
  <si>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</si>
  <si>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</si>
  <si>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</si>
  <si>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</si>
  <si>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</si>
  <si>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</si>
  <si>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</si>
  <si>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</si>
  <si>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</si>
  <si>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</si>
  <si>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</si>
  <si>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</si>
  <si>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</si>
  <si>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</si>
  <si>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</si>
  <si>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</si>
  <si>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</si>
  <si>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</si>
  <si>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</si>
  <si>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</si>
  <si>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</si>
  <si>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</si>
  <si>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</si>
  <si>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</si>
  <si>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</si>
  <si>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</si>
  <si>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</si>
  <si>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</si>
  <si>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</si>
  <si>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</si>
  <si>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</si>
  <si>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</si>
  <si>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</si>
  <si>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</si>
  <si>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</si>
  <si>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</si>
  <si>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</si>
  <si>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</si>
  <si>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</si>
  <si>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</si>
  <si>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</si>
  <si>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</si>
  <si>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</si>
  <si>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</si>
  <si>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</si>
  <si>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</si>
  <si>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</si>
  <si>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</si>
  <si>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</si>
  <si>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</si>
  <si>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</si>
  <si>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</si>
  <si>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</si>
  <si>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</si>
  <si>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</si>
  <si>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</si>
  <si>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</si>
  <si>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</si>
  <si>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</si>
  <si>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</si>
  <si>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</si>
  <si>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</si>
  <si>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</si>
  <si>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</si>
  <si>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</si>
  <si>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</si>
  <si>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</si>
  <si>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</si>
  <si>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</si>
  <si>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</si>
  <si>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</si>
  <si>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</si>
  <si>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</si>
  <si>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</si>
  <si>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</si>
  <si>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</si>
  <si>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</si>
  <si>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</si>
  <si>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</si>
  <si>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</si>
  <si>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</si>
  <si>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</si>
  <si>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</si>
  <si>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</si>
  <si>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</si>
  <si>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</si>
  <si>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</si>
  <si>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</si>
  <si>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</si>
  <si>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</si>
  <si>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</si>
  <si>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</si>
  <si>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</si>
  <si>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</si>
  <si>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</si>
  <si>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</si>
  <si>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</si>
  <si>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</si>
  <si>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</si>
  <si>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</si>
  <si>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</si>
  <si>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</si>
  <si>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</si>
  <si>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</si>
  <si>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</si>
  <si>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</si>
  <si>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</si>
  <si>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</si>
  <si>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</si>
  <si>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</si>
  <si>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</si>
  <si>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</si>
  <si>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</si>
  <si>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</si>
  <si>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</si>
  <si>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</si>
  <si>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</si>
  <si>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</si>
  <si>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</si>
  <si>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</si>
  <si>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</si>
  <si>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</si>
  <si>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</si>
  <si>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</si>
  <si>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</si>
  <si>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</si>
  <si>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</si>
  <si>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</si>
  <si>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</si>
  <si>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</si>
  <si>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</si>
  <si>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</si>
  <si>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</si>
  <si>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</si>
  <si>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</si>
  <si>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</si>
  <si>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</si>
  <si>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</si>
  <si>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</si>
  <si>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</si>
  <si>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</si>
  <si>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</si>
  <si>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</si>
  <si>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</si>
  <si>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</si>
  <si>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</si>
  <si>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</si>
  <si>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</si>
  <si>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</si>
  <si>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</si>
  <si>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</si>
  <si>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</si>
  <si>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</si>
  <si>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</si>
  <si>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</si>
  <si>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</si>
  <si>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</si>
  <si>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</si>
  <si>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</si>
  <si>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</si>
  <si>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</si>
  <si>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</si>
  <si>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</si>
  <si>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</si>
  <si>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</si>
  <si>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</si>
  <si>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</si>
  <si>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</si>
  <si>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</si>
  <si>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</si>
  <si>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</si>
  <si>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</si>
  <si>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</si>
  <si>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</si>
  <si>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</si>
  <si>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</si>
  <si>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</si>
  <si>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</si>
  <si>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</si>
  <si>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</si>
  <si>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</si>
  <si>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</si>
  <si>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</si>
  <si>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</si>
  <si>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</si>
  <si>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</si>
  <si>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</si>
  <si>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</si>
  <si>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</si>
  <si>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</si>
  <si>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</si>
  <si>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</si>
  <si>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</si>
  <si>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</si>
  <si>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</si>
  <si>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</si>
  <si>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</si>
  <si>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</si>
  <si>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</si>
  <si>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</si>
  <si>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</si>
  <si>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</si>
  <si>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</si>
  <si>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</si>
  <si>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</si>
  <si>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</si>
  <si>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</si>
  <si>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</si>
  <si>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</si>
  <si>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</si>
  <si>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</si>
  <si>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</si>
  <si>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</si>
  <si>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</si>
  <si>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</si>
  <si>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</si>
  <si>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</si>
  <si>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</si>
  <si>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</si>
  <si>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</si>
  <si>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</si>
  <si>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</si>
  <si>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</si>
  <si>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</si>
  <si>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</si>
  <si>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</si>
  <si>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</si>
  <si>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</si>
  <si>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</si>
  <si>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</si>
  <si>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</si>
  <si>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</si>
  <si>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</si>
  <si>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</si>
  <si>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</si>
  <si>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</si>
  <si>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</si>
  <si>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</si>
  <si>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</si>
  <si>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</si>
  <si>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</si>
  <si>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</si>
  <si>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</si>
  <si>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</si>
  <si>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</si>
  <si>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</si>
  <si>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</si>
  <si>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</si>
  <si>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</si>
  <si>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</si>
  <si>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</si>
  <si>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</si>
  <si>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</si>
  <si>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</si>
  <si>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</si>
  <si>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</si>
  <si>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</si>
  <si>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</si>
  <si>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</si>
  <si>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</si>
  <si>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</si>
  <si>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</si>
  <si>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</si>
  <si>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</si>
  <si>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</si>
  <si>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</si>
  <si>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</si>
  <si>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</si>
  <si>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</si>
  <si>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</si>
  <si>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</si>
  <si>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</si>
  <si>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</si>
  <si>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</si>
  <si>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</si>
  <si>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</si>
  <si>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</si>
  <si>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</si>
  <si>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</si>
  <si>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</si>
  <si>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</si>
  <si>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</si>
  <si>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</si>
  <si>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</si>
  <si>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</si>
  <si>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</si>
  <si>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</si>
  <si>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</si>
  <si>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</si>
  <si>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</si>
  <si>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</si>
  <si>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</si>
  <si>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</si>
  <si>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</si>
  <si>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</si>
  <si>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</si>
  <si>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</si>
  <si>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</si>
  <si>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</si>
  <si>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</si>
  <si>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</si>
  <si>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</si>
  <si>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</si>
  <si>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</si>
  <si>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</si>
  <si>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</si>
  <si>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</si>
  <si>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</si>
  <si>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</si>
  <si>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</si>
  <si>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</si>
  <si>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</si>
  <si>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</si>
  <si>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</si>
  <si>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</si>
  <si>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</si>
  <si>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</si>
  <si>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</si>
  <si>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</si>
  <si>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</si>
  <si>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</si>
  <si>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</si>
  <si>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</si>
  <si>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</si>
  <si>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</si>
  <si>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</si>
  <si>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</si>
  <si>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</si>
  <si>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</si>
  <si>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</si>
  <si>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</si>
  <si>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</si>
  <si>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</si>
  <si>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</si>
  <si>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</si>
  <si>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</si>
  <si>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</si>
  <si>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</si>
  <si>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</si>
  <si>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</si>
  <si>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</si>
  <si>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</si>
  <si>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</si>
  <si>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</si>
  <si>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</si>
  <si>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</si>
  <si>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</si>
  <si>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</si>
  <si>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</si>
  <si>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</si>
  <si>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</si>
  <si>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</si>
  <si>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</si>
  <si>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</si>
  <si>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</si>
  <si>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</si>
  <si>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</si>
  <si>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</si>
  <si>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</si>
  <si>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</si>
  <si>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</si>
  <si>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</si>
  <si>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</si>
  <si>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</si>
  <si>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</si>
  <si>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</si>
  <si>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</si>
  <si>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</si>
  <si>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</si>
  <si>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</si>
  <si>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</si>
  <si>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</si>
  <si>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</si>
  <si>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</si>
  <si>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</si>
  <si>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</si>
  <si>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</si>
  <si>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</si>
  <si>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</si>
  <si>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</si>
  <si>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</si>
  <si>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</si>
  <si>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</si>
  <si>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</si>
  <si>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</si>
  <si>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</si>
  <si>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</si>
  <si>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</si>
  <si>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</si>
  <si>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</si>
  <si>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</si>
  <si>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</si>
  <si>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</si>
  <si>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</si>
  <si>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</si>
  <si>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</si>
  <si>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</si>
  <si>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</si>
  <si>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</si>
  <si>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</si>
  <si>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</si>
  <si>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</si>
  <si>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</si>
  <si>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</si>
  <si>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</si>
  <si>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</si>
  <si>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</si>
  <si>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</si>
  <si>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</si>
  <si>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</si>
  <si>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</si>
  <si>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</si>
  <si>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</si>
  <si>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</si>
  <si>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</si>
  <si>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</si>
  <si>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</si>
  <si>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</si>
  <si>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</si>
  <si>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</si>
  <si>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</si>
  <si>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</si>
  <si>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</si>
  <si>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</si>
  <si>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</si>
  <si>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</si>
  <si>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</si>
  <si>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</si>
  <si>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</si>
  <si>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</si>
  <si>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</si>
  <si>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</si>
  <si>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</si>
  <si>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</si>
  <si>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</si>
  <si>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</si>
  <si>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</si>
  <si>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</si>
  <si>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</si>
  <si>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</si>
  <si>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</si>
  <si>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</si>
  <si>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</si>
  <si>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</si>
  <si>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</si>
  <si>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</si>
  <si>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</si>
  <si>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</si>
  <si>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</si>
  <si>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</si>
  <si>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</si>
  <si>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</si>
  <si>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</si>
  <si>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</si>
  <si>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</si>
  <si>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</si>
  <si>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</si>
  <si>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</si>
  <si>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</si>
  <si>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</si>
  <si>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</si>
  <si>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</si>
  <si>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</si>
  <si>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</si>
  <si>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</si>
  <si>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</si>
  <si>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</si>
  <si>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</si>
  <si>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</si>
  <si>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</si>
  <si>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</si>
  <si>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</si>
  <si>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</si>
  <si>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</si>
  <si>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</si>
  <si>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</si>
  <si>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</si>
  <si>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</si>
  <si>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</si>
  <si>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</si>
  <si>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</si>
  <si>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</si>
  <si>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</si>
  <si>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</si>
  <si>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</si>
  <si>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</si>
  <si>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</si>
  <si>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</si>
  <si>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</si>
  <si>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</si>
  <si>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</si>
  <si>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</si>
  <si>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</si>
  <si>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</si>
  <si>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</si>
  <si>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</si>
  <si>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</si>
  <si>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</si>
  <si>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</si>
  <si>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</si>
  <si>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</si>
  <si>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</si>
  <si>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</si>
  <si>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</si>
  <si>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</si>
  <si>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</si>
  <si>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</si>
  <si>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</si>
  <si>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</si>
  <si>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</si>
  <si>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</si>
  <si>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</si>
  <si>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</si>
  <si>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</si>
  <si>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</si>
  <si>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</si>
  <si>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</si>
  <si>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</si>
  <si>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</si>
  <si>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</si>
  <si>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</si>
  <si>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</si>
  <si>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</si>
  <si>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</si>
  <si>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</si>
  <si>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</si>
  <si>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</si>
  <si>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</si>
  <si>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</si>
  <si>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</si>
  <si>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</si>
  <si>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</si>
  <si>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</si>
  <si>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</si>
  <si>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</si>
  <si>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</si>
  <si>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</si>
  <si>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</si>
  <si>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</si>
  <si>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</si>
  <si>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</si>
  <si>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</si>
  <si>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</si>
  <si>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</si>
  <si>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</si>
  <si>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</si>
  <si>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</si>
  <si>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</si>
  <si>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</si>
  <si>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</si>
  <si>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</si>
  <si>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</si>
  <si>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</si>
  <si>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</si>
  <si>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</si>
  <si>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</si>
  <si>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</si>
  <si>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</si>
  <si>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</si>
  <si>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</si>
  <si>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</si>
  <si>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</si>
  <si>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</si>
  <si>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</si>
  <si>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</si>
  <si>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</si>
  <si>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</si>
  <si>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</si>
  <si>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</si>
  <si>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</si>
  <si>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</si>
  <si>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</si>
  <si>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</si>
  <si>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</si>
  <si>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</si>
  <si>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</si>
  <si>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</si>
  <si>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</si>
  <si>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</si>
  <si>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</si>
  <si>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</si>
  <si>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</si>
  <si>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</si>
  <si>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</si>
  <si>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</si>
  <si>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</si>
  <si>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</si>
  <si>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</si>
  <si>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</si>
  <si>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</si>
  <si>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</si>
  <si>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</si>
  <si>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</si>
  <si>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</si>
  <si>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</si>
  <si>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</si>
  <si>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</si>
  <si>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</si>
  <si>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</si>
  <si>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</si>
  <si>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</si>
  <si>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</si>
  <si>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</si>
  <si>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</si>
  <si>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</si>
  <si>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</si>
  <si>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</si>
  <si>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</si>
  <si>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</si>
  <si>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</si>
  <si>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</si>
  <si>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</si>
  <si>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</si>
  <si>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</si>
  <si>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</si>
  <si>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</si>
  <si>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</si>
  <si>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</si>
  <si>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</si>
  <si>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</si>
  <si>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</si>
  <si>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</si>
  <si>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</si>
  <si>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</si>
  <si>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</si>
  <si>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</si>
  <si>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</si>
  <si>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</si>
  <si>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</si>
  <si>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</si>
  <si>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</si>
  <si>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</si>
  <si>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</si>
  <si>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</si>
  <si>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</si>
  <si>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</si>
  <si>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</si>
  <si>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</si>
  <si>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</si>
  <si>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</si>
  <si>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</si>
  <si>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</si>
  <si>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</si>
  <si>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</si>
  <si>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</si>
  <si>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</si>
  <si>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</si>
  <si>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</si>
  <si>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</si>
  <si>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</si>
  <si>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</si>
  <si>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</si>
  <si>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</si>
  <si>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</si>
  <si>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</si>
  <si>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</si>
  <si>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</si>
  <si>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</si>
  <si>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</si>
  <si>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</si>
  <si>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</si>
  <si>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</si>
  <si>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</si>
  <si>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</si>
  <si>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</si>
  <si>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</si>
  <si>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</si>
  <si>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</si>
  <si>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</si>
  <si>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</si>
  <si>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</si>
  <si>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</si>
  <si>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</si>
  <si>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</si>
  <si>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</si>
  <si>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</si>
  <si>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</si>
  <si>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</si>
  <si>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</si>
  <si>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</si>
  <si>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</si>
  <si>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</si>
  <si>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</si>
  <si>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</si>
  <si>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</si>
  <si>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</si>
  <si>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</si>
  <si>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</si>
  <si>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</si>
  <si>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</si>
  <si>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</si>
  <si>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</si>
  <si>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</si>
  <si>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</si>
  <si>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</si>
  <si>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</si>
  <si>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</si>
  <si>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</si>
  <si>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</si>
  <si>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</si>
  <si>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</si>
  <si>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</si>
  <si>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</si>
  <si>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</si>
  <si>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</si>
  <si>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</si>
  <si>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</si>
  <si>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</si>
  <si>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</si>
  <si>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</si>
  <si>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</si>
  <si>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</si>
  <si>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</si>
  <si>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</si>
  <si>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</si>
  <si>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</si>
  <si>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</si>
  <si>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</si>
  <si>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</si>
  <si>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</si>
  <si>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</si>
  <si>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</si>
  <si>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</si>
  <si>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</si>
  <si>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</si>
  <si>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</si>
  <si>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</si>
  <si>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</si>
  <si>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</si>
  <si>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</si>
  <si>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</si>
  <si>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</si>
  <si>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</si>
  <si>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</si>
  <si>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</si>
  <si>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</si>
  <si>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</si>
  <si>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</si>
  <si>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</si>
  <si>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</si>
  <si>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</si>
  <si>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</si>
  <si>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</si>
  <si>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</si>
  <si>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</si>
  <si>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</si>
  <si>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</si>
  <si>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</si>
  <si>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</si>
  <si>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</si>
  <si>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</si>
  <si>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</si>
  <si>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</si>
  <si>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</si>
  <si>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</si>
  <si>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</si>
  <si>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</si>
  <si>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</si>
  <si>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</si>
  <si>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</si>
  <si>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</si>
  <si>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</si>
  <si>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</si>
  <si>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</si>
  <si>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</si>
  <si>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</si>
  <si>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</si>
  <si>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</si>
  <si>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</si>
  <si>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</si>
  <si>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</si>
  <si>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</si>
  <si>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</si>
  <si>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</si>
  <si>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</si>
  <si>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</si>
  <si>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</si>
  <si>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</si>
  <si>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</si>
  <si>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</si>
  <si>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</si>
  <si>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</si>
  <si>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</si>
  <si>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</si>
  <si>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</si>
  <si>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</si>
  <si>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</si>
  <si>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</si>
  <si>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</si>
  <si>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</si>
  <si>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</si>
  <si>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</si>
  <si>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</si>
  <si>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</si>
  <si>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</si>
  <si>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</si>
  <si>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</si>
  <si>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</si>
  <si>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</si>
  <si>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</si>
  <si>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</si>
  <si>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</si>
  <si>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</si>
  <si>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</si>
  <si>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</si>
  <si>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</si>
  <si>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</si>
  <si>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</si>
  <si>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</si>
  <si>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</si>
  <si>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</si>
  <si>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</si>
  <si>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</si>
  <si>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</si>
  <si>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</si>
  <si>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</si>
  <si>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</si>
  <si>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</si>
  <si>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</si>
  <si>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</si>
  <si>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</si>
  <si>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</si>
  <si>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</si>
  <si>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</si>
  <si>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</si>
  <si>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</si>
  <si>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</si>
  <si>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</si>
  <si>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</si>
  <si>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</si>
  <si>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</si>
  <si>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</si>
  <si>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</si>
  <si>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</si>
  <si>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</si>
  <si>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</si>
  <si>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</si>
  <si>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</si>
  <si>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</si>
  <si>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</si>
  <si>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</si>
  <si>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</si>
  <si>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</si>
  <si>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</si>
  <si>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</si>
  <si>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</si>
  <si>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</si>
  <si>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</si>
  <si>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</si>
  <si>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</si>
  <si>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</si>
  <si>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</si>
  <si>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</si>
  <si>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</si>
  <si>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</si>
  <si>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</si>
  <si>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</si>
  <si>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</si>
  <si>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</si>
  <si>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</si>
  <si>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</si>
  <si>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</si>
  <si>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</si>
  <si>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</si>
  <si>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</si>
  <si>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</si>
  <si>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</si>
  <si>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</si>
  <si>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</si>
  <si>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</si>
  <si>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</si>
  <si>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</si>
  <si>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</si>
  <si>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</si>
  <si>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</si>
  <si>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</si>
  <si>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</si>
  <si>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</si>
  <si>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</si>
  <si>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</si>
  <si>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</si>
  <si>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</si>
  <si>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</si>
  <si>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</si>
  <si>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</si>
  <si>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</si>
  <si>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</si>
  <si>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</si>
  <si>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</si>
  <si>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</si>
  <si>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</si>
  <si>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</si>
  <si>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</si>
  <si>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</si>
  <si>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</si>
  <si>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</si>
  <si>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</si>
  <si>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</si>
  <si>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</si>
  <si>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</si>
  <si>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</si>
  <si>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</si>
  <si>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</si>
  <si>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</si>
  <si>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</si>
  <si>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</si>
  <si>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</si>
  <si>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</si>
  <si>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</si>
  <si>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</si>
  <si>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</si>
  <si>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</si>
  <si>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</si>
  <si>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</si>
  <si>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</si>
  <si>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</si>
  <si>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</si>
  <si>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</si>
  <si>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</si>
  <si>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</si>
  <si>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</si>
  <si>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</si>
  <si>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</si>
  <si>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</si>
  <si>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</si>
  <si>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</si>
  <si>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</si>
  <si>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</si>
  <si>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</si>
  <si>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</si>
  <si>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</si>
  <si>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</si>
  <si>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</si>
  <si>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</si>
  <si>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"ХИМСНАБ БЪЛГАРИЯ" АД</t>
  </si>
  <si>
    <t>115051489</t>
  </si>
  <si>
    <t>МАРТИН СЕФЕРИНОВ ПЪРВАНОВ</t>
  </si>
  <si>
    <t>ИЗПЪЛНИТЕЛЕН ДИРЕКТОР</t>
  </si>
  <si>
    <t>ГР.СОФИЯ,1271,Р-Н НАДЕЖДА,КВ.ИЛИЯНЦИ,УЛ.СКЛАДОВА БАЗА №1</t>
  </si>
  <si>
    <t>02 838 10 12</t>
  </si>
  <si>
    <t>m.parvanov@chimsnab-bulgaria.com</t>
  </si>
  <si>
    <t>www.chimsnab-bulgaria.com</t>
  </si>
  <si>
    <t>e-register.fsc.bg;http://www.x3news.com; www.infostock.bg</t>
  </si>
  <si>
    <t>0885 874 156</t>
  </si>
  <si>
    <t>1. ЕЛПРОМ АД</t>
  </si>
  <si>
    <t>2. ВАРНА ИСТЕЙТС МЕНИДЖМЪНТ ЕООД</t>
  </si>
  <si>
    <t>3. ЕКСПЕРТ СНАБ ООД</t>
  </si>
  <si>
    <t>1. М КАР ЕООД СКОПИЕ</t>
  </si>
  <si>
    <t>Елена Николова Драганова</t>
  </si>
  <si>
    <t>СК Ел Финанс ЕООД</t>
  </si>
  <si>
    <t>2.Лизинг М Инс ЕООД Скопие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</si>
</sst>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2">
      <selection activeCell="H14" sqref="H14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45321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Николова Драганова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45321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31.5">
      <c r="A19" s="7" t="s">
        <v>4</v>
      </c>
      <c r="B19" s="577" t="s">
        <v>993</v>
      </c>
    </row>
    <row r="20" spans="1:2" ht="31.5">
      <c r="A20" s="7" t="s">
        <v>5</v>
      </c>
      <c r="B20" s="577" t="s">
        <v>993</v>
      </c>
    </row>
    <row r="21" spans="1:2" ht="15.75">
      <c r="A21" s="10" t="s">
        <v>6</v>
      </c>
      <c r="B21" s="579" t="s">
        <v>998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968</v>
      </c>
      <c r="B26" s="579" t="s">
        <v>1003</v>
      </c>
    </row>
    <row r="27" spans="1:2" ht="15.75">
      <c r="A27" s="10" t="s">
        <v>969</v>
      </c>
      <c r="B27" s="579" t="s">
        <v>1004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116255</v>
      </c>
      <c r="D6" s="675">
        <f aca="true" t="shared" si="0" ref="D6:D15">C6-E6</f>
        <v>0</v>
      </c>
      <c r="E6" s="674">
        <f>'1-Баланс'!G95</f>
        <v>116255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92530</v>
      </c>
      <c r="D7" s="675">
        <f t="shared" si="0"/>
        <v>90035</v>
      </c>
      <c r="E7" s="674">
        <f>'1-Баланс'!G18</f>
        <v>2495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2923</v>
      </c>
      <c r="D8" s="675">
        <f t="shared" si="0"/>
        <v>0</v>
      </c>
      <c r="E8" s="674">
        <f>ABS('2-Отчет за доходите'!C44)-ABS('2-Отчет за доходите'!G44)</f>
        <v>2923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36</v>
      </c>
      <c r="D9" s="675">
        <f t="shared" si="0"/>
        <v>0</v>
      </c>
      <c r="E9" s="674">
        <f>'3-Отчет за паричния поток'!C45</f>
        <v>36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126</v>
      </c>
      <c r="D10" s="675">
        <f t="shared" si="0"/>
        <v>0</v>
      </c>
      <c r="E10" s="674">
        <f>'3-Отчет за паричния поток'!C46</f>
        <v>126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92530</v>
      </c>
      <c r="D11" s="675">
        <f t="shared" si="0"/>
        <v>0</v>
      </c>
      <c r="E11" s="674">
        <f>'4-Отчет за собствения капитал'!L34</f>
        <v>92530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24901</v>
      </c>
      <c r="D12" s="675">
        <f t="shared" si="0"/>
        <v>0</v>
      </c>
      <c r="E12" s="674">
        <f>'Справка 5'!C27+'Справка 5'!C97</f>
        <v>24901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4">
      <selection activeCell="M17" sqref="M17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2.3309409888357258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0.03158975467415973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0.12320337197049526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0.025143004601952606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2.5004812319538017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3.1985185185185183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3.197979797979798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0.0056565656565656566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0.0056565656565656566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0.062332239785266925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0.01078663283299643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0.015428814641413066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0.2564033286501675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0.20407724398950583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3523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0.03807413811736734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0.6793687451886066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6.720963172804533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7">
      <selection activeCell="T40" sqref="T40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64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10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82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20025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24901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24901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24901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45008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11348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116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35509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24136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71109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125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126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71247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116255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3415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3223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78391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8721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9871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2923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11644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92530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402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1048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1450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397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67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23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298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21878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22275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22275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116255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30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146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318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56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135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967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1659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405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419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2078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3118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2078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3118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195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195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2923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2923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5196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160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847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247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1254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1566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2375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3942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5196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5196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5196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1220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-437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-338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-102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-264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76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-2979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338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190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248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2230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27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32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-37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-13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90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126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126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3225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3225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3223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3223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9869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9869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2923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12794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12794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-1151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-1151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1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-1150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-1150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89606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89606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2923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92530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92530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106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15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300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20032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24894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24894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24894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45226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1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5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10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15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3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3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3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106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55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15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16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305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20032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24901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24901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24901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45238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106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55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15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16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305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20032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24901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24901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24901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45238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38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43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113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6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15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215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7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222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8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8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42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45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113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8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15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223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7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230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42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45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113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8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15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223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7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230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64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10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82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20025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24901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24901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24901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45008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8765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8752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13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116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35509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24136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24136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68526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68526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8765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8752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13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116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35509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24136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24136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68526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68526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402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402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1048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397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67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23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298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12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286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9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21434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21831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23281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213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62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19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96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13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83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21434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21648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21648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402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402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1048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-1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-1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184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-19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-3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202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-1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203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-1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183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1633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24871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24871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30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30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24871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24871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30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U31" sqref="U3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PageLayoutView="0" workbookViewId="0" topLeftCell="C67">
      <selection activeCell="G95" sqref="G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64</v>
      </c>
      <c r="D14" s="196">
        <v>68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10</v>
      </c>
      <c r="D15" s="196">
        <v>11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6">
        <v>6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1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82</v>
      </c>
      <c r="D20" s="598">
        <f>SUM(D12:D19)</f>
        <v>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20025</v>
      </c>
      <c r="D21" s="477">
        <v>20025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3415</v>
      </c>
      <c r="H22" s="614">
        <f>SUM(H23:H25)</f>
        <v>3417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3223</v>
      </c>
      <c r="H25" s="196">
        <v>3225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78391</v>
      </c>
      <c r="H26" s="598">
        <f>H20+H21+H22</f>
        <v>78393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8721</v>
      </c>
      <c r="H28" s="596">
        <f>SUM(H29:H31)</f>
        <v>5841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9871</v>
      </c>
      <c r="H29" s="196">
        <v>6992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f>-1151+1</f>
        <v>-1150</v>
      </c>
      <c r="H30" s="196">
        <v>-1151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2923</v>
      </c>
      <c r="H32" s="196">
        <v>2877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11644</v>
      </c>
      <c r="H34" s="598">
        <f>H28+H32+H33</f>
        <v>8718</v>
      </c>
    </row>
    <row r="35" spans="1:8" ht="15.75">
      <c r="A35" s="89" t="s">
        <v>106</v>
      </c>
      <c r="B35" s="94" t="s">
        <v>107</v>
      </c>
      <c r="C35" s="595">
        <f>SUM(C36:C39)</f>
        <v>24901</v>
      </c>
      <c r="D35" s="596">
        <f>SUM(D36:D39)</f>
        <v>24894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24901</v>
      </c>
      <c r="D36" s="196">
        <v>24894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92530</v>
      </c>
      <c r="H37" s="600">
        <f>H26+H18+H34</f>
        <v>89606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24901</v>
      </c>
      <c r="D46" s="598">
        <f>D35+D40+D45</f>
        <v>24894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402</v>
      </c>
      <c r="H53" s="196">
        <v>402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1048</v>
      </c>
      <c r="H54" s="196">
        <v>1046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45008</v>
      </c>
      <c r="D56" s="602">
        <f>D20+D21+D22+D28+D33+D46+D52+D54+D55</f>
        <v>45004</v>
      </c>
      <c r="E56" s="100" t="s">
        <v>850</v>
      </c>
      <c r="F56" s="99" t="s">
        <v>172</v>
      </c>
      <c r="G56" s="599">
        <f>G50+G52+G53+G54+G55</f>
        <v>1450</v>
      </c>
      <c r="H56" s="600">
        <f>H50+H52+H53+H54+H55</f>
        <v>1448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7</v>
      </c>
      <c r="D61" s="196">
        <v>6</v>
      </c>
      <c r="E61" s="200" t="s">
        <v>188</v>
      </c>
      <c r="F61" s="93" t="s">
        <v>189</v>
      </c>
      <c r="G61" s="595">
        <f>SUM(G62:G68)</f>
        <v>397</v>
      </c>
      <c r="H61" s="596">
        <f>SUM(H62:H68)</f>
        <v>272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</v>
      </c>
      <c r="D64" s="196"/>
      <c r="E64" s="89" t="s">
        <v>199</v>
      </c>
      <c r="F64" s="93" t="s">
        <v>200</v>
      </c>
      <c r="G64" s="197">
        <v>67</v>
      </c>
      <c r="H64" s="196">
        <v>96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</v>
      </c>
      <c r="D65" s="598">
        <f>SUM(D59:D64)</f>
        <v>9</v>
      </c>
      <c r="E65" s="89" t="s">
        <v>201</v>
      </c>
      <c r="F65" s="93" t="s">
        <v>202</v>
      </c>
      <c r="G65" s="197">
        <v>0</v>
      </c>
      <c r="H65" s="196">
        <v>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23</v>
      </c>
      <c r="H66" s="196">
        <v>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11348</v>
      </c>
      <c r="D68" s="196">
        <v>6955</v>
      </c>
      <c r="E68" s="89" t="s">
        <v>212</v>
      </c>
      <c r="F68" s="93" t="s">
        <v>213</v>
      </c>
      <c r="G68" s="197">
        <v>298</v>
      </c>
      <c r="H68" s="196">
        <v>133</v>
      </c>
    </row>
    <row r="69" spans="1:8" ht="15.75">
      <c r="A69" s="89" t="s">
        <v>210</v>
      </c>
      <c r="B69" s="91" t="s">
        <v>211</v>
      </c>
      <c r="C69" s="197">
        <v>116</v>
      </c>
      <c r="D69" s="196">
        <v>45</v>
      </c>
      <c r="E69" s="201" t="s">
        <v>79</v>
      </c>
      <c r="F69" s="93" t="s">
        <v>216</v>
      </c>
      <c r="G69" s="197">
        <v>21878</v>
      </c>
      <c r="H69" s="196">
        <v>21442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35509</v>
      </c>
      <c r="D71" s="196">
        <v>36457</v>
      </c>
      <c r="E71" s="474" t="s">
        <v>47</v>
      </c>
      <c r="F71" s="95" t="s">
        <v>223</v>
      </c>
      <c r="G71" s="597">
        <f>G59+G60+G61+G69+G70</f>
        <v>22275</v>
      </c>
      <c r="H71" s="598">
        <f>H59+H60+H61+H69+H70</f>
        <v>21714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24136</v>
      </c>
      <c r="D75" s="196">
        <v>24474</v>
      </c>
      <c r="E75" s="485" t="s">
        <v>160</v>
      </c>
      <c r="F75" s="95" t="s">
        <v>233</v>
      </c>
      <c r="G75" s="478"/>
      <c r="H75" s="479">
        <v>218</v>
      </c>
    </row>
    <row r="76" spans="1:8" ht="15.75">
      <c r="A76" s="482" t="s">
        <v>77</v>
      </c>
      <c r="B76" s="96" t="s">
        <v>232</v>
      </c>
      <c r="C76" s="597">
        <f>SUM(C68:C75)</f>
        <v>71109</v>
      </c>
      <c r="D76" s="598">
        <f>SUM(D68:D75)</f>
        <v>67931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22275</v>
      </c>
      <c r="H79" s="600">
        <f>H71+H73+H75+H77</f>
        <v>21932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125</v>
      </c>
      <c r="D89" s="196">
        <v>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126</v>
      </c>
      <c r="D92" s="598">
        <f>SUM(D88:D91)</f>
        <v>36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71247</v>
      </c>
      <c r="D94" s="602">
        <f>D65+D76+D85+D92+D93</f>
        <v>67982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116255</v>
      </c>
      <c r="D95" s="604">
        <f>D94+D56</f>
        <v>112986</v>
      </c>
      <c r="E95" s="229" t="s">
        <v>941</v>
      </c>
      <c r="F95" s="489" t="s">
        <v>268</v>
      </c>
      <c r="G95" s="603">
        <f>G37+G40+G56+G79</f>
        <v>116255</v>
      </c>
      <c r="H95" s="604">
        <f>H37+H40+H56+H79</f>
        <v>112986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45321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Николова Драганова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0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</v>
      </c>
      <c r="D12" s="317">
        <v>27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146</v>
      </c>
      <c r="D13" s="317">
        <v>301</v>
      </c>
      <c r="E13" s="194" t="s">
        <v>281</v>
      </c>
      <c r="F13" s="240" t="s">
        <v>282</v>
      </c>
      <c r="G13" s="316">
        <v>160</v>
      </c>
      <c r="H13" s="317">
        <v>163</v>
      </c>
    </row>
    <row r="14" spans="1:8" ht="15.75">
      <c r="A14" s="194" t="s">
        <v>283</v>
      </c>
      <c r="B14" s="190" t="s">
        <v>284</v>
      </c>
      <c r="C14" s="316">
        <v>7</v>
      </c>
      <c r="D14" s="317">
        <v>11</v>
      </c>
      <c r="E14" s="245" t="s">
        <v>285</v>
      </c>
      <c r="F14" s="240" t="s">
        <v>286</v>
      </c>
      <c r="G14" s="316">
        <v>847</v>
      </c>
      <c r="H14" s="317">
        <v>753</v>
      </c>
    </row>
    <row r="15" spans="1:8" ht="15.75">
      <c r="A15" s="194" t="s">
        <v>287</v>
      </c>
      <c r="B15" s="190" t="s">
        <v>288</v>
      </c>
      <c r="C15" s="316">
        <v>318</v>
      </c>
      <c r="D15" s="317">
        <v>223</v>
      </c>
      <c r="E15" s="245" t="s">
        <v>79</v>
      </c>
      <c r="F15" s="240" t="s">
        <v>289</v>
      </c>
      <c r="G15" s="316">
        <v>247</v>
      </c>
      <c r="H15" s="317">
        <v>305</v>
      </c>
    </row>
    <row r="16" spans="1:8" ht="15.75">
      <c r="A16" s="194" t="s">
        <v>290</v>
      </c>
      <c r="B16" s="190" t="s">
        <v>291</v>
      </c>
      <c r="C16" s="316">
        <v>56</v>
      </c>
      <c r="D16" s="317">
        <v>38</v>
      </c>
      <c r="E16" s="236" t="s">
        <v>52</v>
      </c>
      <c r="F16" s="264" t="s">
        <v>292</v>
      </c>
      <c r="G16" s="628">
        <f>SUM(G12:G15)</f>
        <v>1254</v>
      </c>
      <c r="H16" s="629">
        <f>SUM(H12:H15)</f>
        <v>1221</v>
      </c>
    </row>
    <row r="17" spans="1:8" ht="31.5">
      <c r="A17" s="194" t="s">
        <v>293</v>
      </c>
      <c r="B17" s="190" t="s">
        <v>294</v>
      </c>
      <c r="C17" s="316">
        <v>135</v>
      </c>
      <c r="D17" s="317">
        <v>140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967</v>
      </c>
      <c r="D19" s="317">
        <v>792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>
        <v>594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1659</v>
      </c>
      <c r="D22" s="629">
        <f>SUM(D12:D18)+D19</f>
        <v>1532</v>
      </c>
      <c r="E22" s="194" t="s">
        <v>309</v>
      </c>
      <c r="F22" s="237" t="s">
        <v>310</v>
      </c>
      <c r="G22" s="316">
        <v>1566</v>
      </c>
      <c r="H22" s="317">
        <v>718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2375</v>
      </c>
      <c r="H23" s="317">
        <v>3129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</v>
      </c>
      <c r="H24" s="317">
        <v>1</v>
      </c>
    </row>
    <row r="25" spans="1:8" ht="31.5">
      <c r="A25" s="194" t="s">
        <v>316</v>
      </c>
      <c r="B25" s="237" t="s">
        <v>317</v>
      </c>
      <c r="C25" s="316">
        <v>405</v>
      </c>
      <c r="D25" s="317">
        <v>431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10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</v>
      </c>
      <c r="D27" s="317"/>
      <c r="E27" s="236" t="s">
        <v>104</v>
      </c>
      <c r="F27" s="238" t="s">
        <v>326</v>
      </c>
      <c r="G27" s="628">
        <f>SUM(G22:G26)</f>
        <v>3942</v>
      </c>
      <c r="H27" s="629">
        <f>SUM(H22:H26)</f>
        <v>3848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419</v>
      </c>
      <c r="D29" s="629">
        <f>SUM(D25:D28)</f>
        <v>433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2078</v>
      </c>
      <c r="D31" s="635">
        <f>D29+D22</f>
        <v>1965</v>
      </c>
      <c r="E31" s="251" t="s">
        <v>824</v>
      </c>
      <c r="F31" s="266" t="s">
        <v>331</v>
      </c>
      <c r="G31" s="253">
        <f>G16+G18+G27</f>
        <v>5196</v>
      </c>
      <c r="H31" s="254">
        <f>H16+H18+H27</f>
        <v>5069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3118</v>
      </c>
      <c r="D33" s="244">
        <f>IF((H31-D31)&gt;0,H31-D31,0)</f>
        <v>3104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2078</v>
      </c>
      <c r="D36" s="637">
        <f>D31-D34+D35</f>
        <v>1965</v>
      </c>
      <c r="E36" s="262" t="s">
        <v>346</v>
      </c>
      <c r="F36" s="256" t="s">
        <v>347</v>
      </c>
      <c r="G36" s="267">
        <f>G35-G34+G31</f>
        <v>5196</v>
      </c>
      <c r="H36" s="268">
        <f>H35-H34+H31</f>
        <v>5069</v>
      </c>
    </row>
    <row r="37" spans="1:8" ht="15.75">
      <c r="A37" s="261" t="s">
        <v>348</v>
      </c>
      <c r="B37" s="231" t="s">
        <v>349</v>
      </c>
      <c r="C37" s="634">
        <f>IF((G36-C36)&gt;0,G36-C36,0)</f>
        <v>3118</v>
      </c>
      <c r="D37" s="635">
        <f>IF((H36-D36)&gt;0,H36-D36,0)</f>
        <v>3104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195</v>
      </c>
      <c r="D38" s="629">
        <f>D39+D40+D41</f>
        <v>227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195</v>
      </c>
      <c r="D39" s="317">
        <v>227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2923</v>
      </c>
      <c r="D42" s="244">
        <f>+IF((H36-D36-D38)&gt;0,H36-D36-D38,0)</f>
        <v>2877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2923</v>
      </c>
      <c r="D44" s="268">
        <f>IF(H42=0,IF(D42-D43&gt;0,D42-D43+H43,0),IF(H42-H43&lt;0,H43-H42+D42,0))</f>
        <v>2877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5196</v>
      </c>
      <c r="D45" s="631">
        <f>D36+D38+D42</f>
        <v>5069</v>
      </c>
      <c r="E45" s="270" t="s">
        <v>373</v>
      </c>
      <c r="F45" s="272" t="s">
        <v>374</v>
      </c>
      <c r="G45" s="630">
        <f>G42+G36</f>
        <v>5196</v>
      </c>
      <c r="H45" s="631">
        <f>H42+H36</f>
        <v>5069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45321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Николова Драганова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rowBreaks count="1" manualBreakCount="1">
    <brk id="11" max="7" man="1"/>
  </rowBreaks>
  <colBreaks count="1" manualBreakCount="1">
    <brk id="2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90" zoomScaleNormal="90" zoomScaleSheetLayoutView="80" zoomScalePageLayoutView="0" workbookViewId="0" topLeftCell="A10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1220</v>
      </c>
      <c r="D11" s="196">
        <v>1195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+-437</f>
        <v>-437</v>
      </c>
      <c r="D12" s="196">
        <v>-616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-338</v>
      </c>
      <c r="D14" s="196">
        <v>-259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-102</v>
      </c>
      <c r="D15" s="196">
        <v>-381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-264</v>
      </c>
      <c r="D16" s="196">
        <v>-41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+-3</f>
        <v>-3</v>
      </c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76</v>
      </c>
      <c r="D21" s="659">
        <f>SUM(D11:D20)</f>
        <v>-100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-2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270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+-2979</f>
        <v>-2979</v>
      </c>
      <c r="D25" s="196">
        <v>-3643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338</v>
      </c>
      <c r="D26" s="196">
        <v>356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190</v>
      </c>
      <c r="D27" s="196">
        <v>492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248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2230</v>
      </c>
      <c r="D30" s="196">
        <v>2973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27</v>
      </c>
      <c r="D33" s="659">
        <f>SUM(D23:D32)</f>
        <v>446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32</v>
      </c>
      <c r="D37" s="196">
        <v>250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+-37</f>
        <v>-37</v>
      </c>
      <c r="D38" s="196">
        <v>-538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f>+-4</f>
        <v>-4</v>
      </c>
      <c r="D40" s="196">
        <v>-53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-24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-13</v>
      </c>
      <c r="D43" s="661">
        <f>SUM(D35:D42)</f>
        <v>-365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90</v>
      </c>
      <c r="D44" s="307">
        <f>D43+D33+D21</f>
        <v>-19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126</v>
      </c>
      <c r="D46" s="311">
        <f>D45+D44</f>
        <v>36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+C46</f>
        <v>126</v>
      </c>
      <c r="D47" s="298">
        <v>810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45321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Николова Драганова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6">
      <selection activeCell="I13" sqref="I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3225</v>
      </c>
      <c r="I13" s="584">
        <f>'1-Баланс'!H29+'1-Баланс'!H32</f>
        <v>9869</v>
      </c>
      <c r="J13" s="584">
        <f>'1-Баланс'!H30+'1-Баланс'!H33</f>
        <v>-1151</v>
      </c>
      <c r="K13" s="585"/>
      <c r="L13" s="584">
        <f>SUM(C13:K13)</f>
        <v>89606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3225</v>
      </c>
      <c r="I17" s="653">
        <f t="shared" si="2"/>
        <v>9869</v>
      </c>
      <c r="J17" s="653">
        <f t="shared" si="2"/>
        <v>-1151</v>
      </c>
      <c r="K17" s="653">
        <f t="shared" si="2"/>
        <v>0</v>
      </c>
      <c r="L17" s="584">
        <f t="shared" si="1"/>
        <v>89606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2923</v>
      </c>
      <c r="J18" s="584">
        <f>+'1-Баланс'!G33</f>
        <v>0</v>
      </c>
      <c r="K18" s="585"/>
      <c r="L18" s="584">
        <f t="shared" si="1"/>
        <v>2923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-2</v>
      </c>
      <c r="I30" s="316">
        <v>2</v>
      </c>
      <c r="J30" s="316">
        <v>1</v>
      </c>
      <c r="K30" s="316"/>
      <c r="L30" s="584">
        <f t="shared" si="1"/>
        <v>1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3223</v>
      </c>
      <c r="I31" s="653">
        <f t="shared" si="6"/>
        <v>12794</v>
      </c>
      <c r="J31" s="653">
        <f t="shared" si="6"/>
        <v>-1150</v>
      </c>
      <c r="K31" s="653">
        <f t="shared" si="6"/>
        <v>0</v>
      </c>
      <c r="L31" s="584">
        <f t="shared" si="1"/>
        <v>92530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3223</v>
      </c>
      <c r="I34" s="587">
        <f t="shared" si="7"/>
        <v>12794</v>
      </c>
      <c r="J34" s="587">
        <f t="shared" si="7"/>
        <v>-1150</v>
      </c>
      <c r="K34" s="587">
        <f t="shared" si="7"/>
        <v>0</v>
      </c>
      <c r="L34" s="651">
        <f t="shared" si="1"/>
        <v>92530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45321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Николова Драганова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0">
      <selection activeCell="C97" activeCellId="1" sqref="C27 C9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1001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530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24871</v>
      </c>
      <c r="D27" s="472"/>
      <c r="E27" s="472">
        <f>SUM(E12:E26)</f>
        <v>0</v>
      </c>
      <c r="F27" s="472">
        <f>SUM(F12:F26)</f>
        <v>24871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24871</v>
      </c>
      <c r="D79" s="472"/>
      <c r="E79" s="472">
        <f>E78+E61+E44+E27</f>
        <v>0</v>
      </c>
      <c r="F79" s="472">
        <f>F78+F61+F44+F27</f>
        <v>24871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1002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.75">
      <c r="A83" s="679" t="s">
        <v>1005</v>
      </c>
      <c r="B83" s="680"/>
      <c r="C83" s="92">
        <v>10</v>
      </c>
      <c r="D83" s="92">
        <v>100</v>
      </c>
      <c r="E83" s="92"/>
      <c r="F83" s="469">
        <f aca="true" t="shared" si="4" ref="F83:F96">C83-E83</f>
        <v>10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30</v>
      </c>
      <c r="D97" s="472"/>
      <c r="E97" s="472">
        <f>SUM(E82:E96)</f>
        <v>0</v>
      </c>
      <c r="F97" s="472">
        <f>SUM(F82:F96)</f>
        <v>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30</v>
      </c>
      <c r="D149" s="472"/>
      <c r="E149" s="472">
        <f>E148+E131+E114+E97</f>
        <v>0</v>
      </c>
      <c r="F149" s="472">
        <f>F148+F131+F114+F97</f>
        <v>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45321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Николова Драганова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7" right="0.3937007874015748" top="0.3937007874015748" bottom="0.17" header="0.1968503937007874" footer="0.17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B40" sqref="B4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106</v>
      </c>
      <c r="E13" s="328"/>
      <c r="F13" s="328"/>
      <c r="G13" s="329">
        <f t="shared" si="2"/>
        <v>106</v>
      </c>
      <c r="H13" s="328"/>
      <c r="I13" s="328"/>
      <c r="J13" s="329">
        <f t="shared" si="3"/>
        <v>106</v>
      </c>
      <c r="K13" s="328">
        <v>38</v>
      </c>
      <c r="L13" s="328">
        <v>4</v>
      </c>
      <c r="M13" s="328"/>
      <c r="N13" s="329">
        <f t="shared" si="4"/>
        <v>42</v>
      </c>
      <c r="O13" s="328"/>
      <c r="P13" s="328"/>
      <c r="Q13" s="329">
        <f t="shared" si="0"/>
        <v>42</v>
      </c>
      <c r="R13" s="340">
        <f t="shared" si="1"/>
        <v>64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>
        <v>1</v>
      </c>
      <c r="F14" s="328"/>
      <c r="G14" s="329">
        <f t="shared" si="2"/>
        <v>55</v>
      </c>
      <c r="H14" s="328"/>
      <c r="I14" s="328"/>
      <c r="J14" s="329">
        <f t="shared" si="3"/>
        <v>55</v>
      </c>
      <c r="K14" s="328">
        <v>43</v>
      </c>
      <c r="L14" s="328">
        <v>2</v>
      </c>
      <c r="M14" s="328"/>
      <c r="N14" s="329">
        <f t="shared" si="4"/>
        <v>45</v>
      </c>
      <c r="O14" s="328"/>
      <c r="P14" s="328"/>
      <c r="Q14" s="329">
        <f t="shared" si="0"/>
        <v>45</v>
      </c>
      <c r="R14" s="340">
        <f t="shared" si="1"/>
        <v>10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113</v>
      </c>
      <c r="L15" s="328"/>
      <c r="M15" s="328"/>
      <c r="N15" s="329">
        <f t="shared" si="4"/>
        <v>113</v>
      </c>
      <c r="O15" s="328"/>
      <c r="P15" s="328"/>
      <c r="Q15" s="329">
        <f t="shared" si="0"/>
        <v>113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>
        <v>3</v>
      </c>
      <c r="F16" s="328"/>
      <c r="G16" s="329">
        <f t="shared" si="2"/>
        <v>15</v>
      </c>
      <c r="H16" s="328"/>
      <c r="I16" s="328"/>
      <c r="J16" s="329">
        <f t="shared" si="3"/>
        <v>15</v>
      </c>
      <c r="K16" s="328">
        <v>6</v>
      </c>
      <c r="L16" s="328">
        <v>2</v>
      </c>
      <c r="M16" s="328"/>
      <c r="N16" s="329">
        <f t="shared" si="4"/>
        <v>8</v>
      </c>
      <c r="O16" s="328"/>
      <c r="P16" s="328"/>
      <c r="Q16" s="329">
        <f t="shared" si="0"/>
        <v>8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15</v>
      </c>
      <c r="E18" s="328">
        <v>1</v>
      </c>
      <c r="F18" s="328"/>
      <c r="G18" s="329">
        <f t="shared" si="2"/>
        <v>16</v>
      </c>
      <c r="H18" s="328"/>
      <c r="I18" s="328"/>
      <c r="J18" s="329">
        <f t="shared" si="3"/>
        <v>16</v>
      </c>
      <c r="K18" s="328">
        <v>15</v>
      </c>
      <c r="L18" s="328"/>
      <c r="M18" s="328"/>
      <c r="N18" s="329">
        <f t="shared" si="4"/>
        <v>15</v>
      </c>
      <c r="O18" s="328"/>
      <c r="P18" s="328"/>
      <c r="Q18" s="329">
        <f t="shared" si="0"/>
        <v>15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300</v>
      </c>
      <c r="E19" s="330">
        <f>SUM(E11:E18)</f>
        <v>5</v>
      </c>
      <c r="F19" s="330">
        <f>SUM(F11:F18)</f>
        <v>0</v>
      </c>
      <c r="G19" s="329">
        <f t="shared" si="2"/>
        <v>305</v>
      </c>
      <c r="H19" s="330">
        <f>SUM(H11:H18)</f>
        <v>0</v>
      </c>
      <c r="I19" s="330">
        <f>SUM(I11:I18)</f>
        <v>0</v>
      </c>
      <c r="J19" s="329">
        <f t="shared" si="3"/>
        <v>305</v>
      </c>
      <c r="K19" s="330">
        <f>SUM(K11:K18)</f>
        <v>215</v>
      </c>
      <c r="L19" s="330">
        <f>SUM(L11:L18)</f>
        <v>8</v>
      </c>
      <c r="M19" s="330">
        <f>SUM(M11:M18)</f>
        <v>0</v>
      </c>
      <c r="N19" s="329">
        <f t="shared" si="4"/>
        <v>223</v>
      </c>
      <c r="O19" s="330">
        <f>SUM(O11:O18)</f>
        <v>0</v>
      </c>
      <c r="P19" s="330">
        <f>SUM(P11:P18)</f>
        <v>0</v>
      </c>
      <c r="Q19" s="329">
        <f t="shared" si="0"/>
        <v>223</v>
      </c>
      <c r="R19" s="340">
        <f t="shared" si="1"/>
        <v>82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20032</v>
      </c>
      <c r="E20" s="328"/>
      <c r="F20" s="328"/>
      <c r="G20" s="329">
        <f t="shared" si="2"/>
        <v>20032</v>
      </c>
      <c r="H20" s="328"/>
      <c r="I20" s="328"/>
      <c r="J20" s="329">
        <f t="shared" si="3"/>
        <v>20032</v>
      </c>
      <c r="K20" s="328">
        <v>7</v>
      </c>
      <c r="L20" s="328"/>
      <c r="M20" s="328"/>
      <c r="N20" s="329">
        <f t="shared" si="4"/>
        <v>7</v>
      </c>
      <c r="O20" s="328"/>
      <c r="P20" s="328"/>
      <c r="Q20" s="329">
        <f t="shared" si="0"/>
        <v>7</v>
      </c>
      <c r="R20" s="340">
        <f t="shared" si="1"/>
        <v>20025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24894</v>
      </c>
      <c r="E30" s="335">
        <f aca="true" t="shared" si="6" ref="E30:P30">SUM(E31:E34)</f>
        <v>10</v>
      </c>
      <c r="F30" s="335">
        <f t="shared" si="6"/>
        <v>3</v>
      </c>
      <c r="G30" s="336">
        <f t="shared" si="2"/>
        <v>24901</v>
      </c>
      <c r="H30" s="335">
        <f t="shared" si="6"/>
        <v>0</v>
      </c>
      <c r="I30" s="335">
        <f t="shared" si="6"/>
        <v>0</v>
      </c>
      <c r="J30" s="336">
        <f t="shared" si="3"/>
        <v>24901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24901</v>
      </c>
    </row>
    <row r="31" spans="1:18" ht="15.75">
      <c r="A31" s="339"/>
      <c r="B31" s="321" t="s">
        <v>108</v>
      </c>
      <c r="C31" s="152" t="s">
        <v>563</v>
      </c>
      <c r="D31" s="328">
        <v>24894</v>
      </c>
      <c r="E31" s="328">
        <v>10</v>
      </c>
      <c r="F31" s="328">
        <v>3</v>
      </c>
      <c r="G31" s="329">
        <f t="shared" si="2"/>
        <v>24901</v>
      </c>
      <c r="H31" s="328"/>
      <c r="I31" s="328"/>
      <c r="J31" s="329">
        <f t="shared" si="3"/>
        <v>24901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24901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24894</v>
      </c>
      <c r="E41" s="330">
        <f aca="true" t="shared" si="10" ref="E41:P41">E30+E35+E40</f>
        <v>10</v>
      </c>
      <c r="F41" s="330">
        <f t="shared" si="10"/>
        <v>3</v>
      </c>
      <c r="G41" s="329">
        <f t="shared" si="2"/>
        <v>24901</v>
      </c>
      <c r="H41" s="330">
        <f t="shared" si="10"/>
        <v>0</v>
      </c>
      <c r="I41" s="330">
        <f t="shared" si="10"/>
        <v>0</v>
      </c>
      <c r="J41" s="329">
        <f t="shared" si="3"/>
        <v>24901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24901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45226</v>
      </c>
      <c r="E43" s="349">
        <f>E19+E20+E22+E28+E41+E42</f>
        <v>15</v>
      </c>
      <c r="F43" s="349">
        <f aca="true" t="shared" si="11" ref="F43:R43">F19+F20+F22+F28+F41+F42</f>
        <v>3</v>
      </c>
      <c r="G43" s="349">
        <f t="shared" si="11"/>
        <v>45238</v>
      </c>
      <c r="H43" s="349">
        <f t="shared" si="11"/>
        <v>0</v>
      </c>
      <c r="I43" s="349">
        <f t="shared" si="11"/>
        <v>0</v>
      </c>
      <c r="J43" s="349">
        <f t="shared" si="11"/>
        <v>45238</v>
      </c>
      <c r="K43" s="349">
        <f t="shared" si="11"/>
        <v>222</v>
      </c>
      <c r="L43" s="349">
        <f t="shared" si="11"/>
        <v>8</v>
      </c>
      <c r="M43" s="349">
        <f t="shared" si="11"/>
        <v>0</v>
      </c>
      <c r="N43" s="349">
        <f t="shared" si="11"/>
        <v>230</v>
      </c>
      <c r="O43" s="349">
        <f t="shared" si="11"/>
        <v>0</v>
      </c>
      <c r="P43" s="349">
        <f t="shared" si="11"/>
        <v>0</v>
      </c>
      <c r="Q43" s="349">
        <f t="shared" si="11"/>
        <v>230</v>
      </c>
      <c r="R43" s="350">
        <f t="shared" si="11"/>
        <v>45008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45321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Николова Драганова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64">
      <selection activeCell="C32" sqref="C3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8765</v>
      </c>
      <c r="D26" s="362">
        <f>SUM(D27:D29)</f>
        <v>8765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8752</v>
      </c>
      <c r="D27" s="368">
        <v>8752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13</v>
      </c>
      <c r="D28" s="368">
        <f>+C28</f>
        <v>13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+'1-Баланс'!C69</f>
        <v>116</v>
      </c>
      <c r="D30" s="368">
        <f>+C30</f>
        <v>116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+'1-Баланс'!C71</f>
        <v>35509</v>
      </c>
      <c r="D32" s="368">
        <f>+C32</f>
        <v>35509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f>+'1-Баланс'!C73</f>
        <v>0</v>
      </c>
      <c r="D36" s="368">
        <f>+C36</f>
        <v>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24136</v>
      </c>
      <c r="D40" s="362">
        <f>SUM(D41:D44)</f>
        <v>24136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+'1-Баланс'!C75</f>
        <v>24136</v>
      </c>
      <c r="D44" s="368">
        <f>+C44</f>
        <v>24136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68526</v>
      </c>
      <c r="D45" s="438">
        <f>D26+D30+D31+D33+D32+D34+D35+D40</f>
        <v>68526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68526</v>
      </c>
      <c r="D46" s="444">
        <f>D45+D23+D21+D11</f>
        <v>68526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+'1-Баланс'!G53</f>
        <v>402</v>
      </c>
      <c r="D66" s="197"/>
      <c r="E66" s="136">
        <f t="shared" si="1"/>
        <v>402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402</v>
      </c>
      <c r="D68" s="435">
        <f>D54+D58+D63+D64+D65+D66</f>
        <v>0</v>
      </c>
      <c r="E68" s="436">
        <f t="shared" si="1"/>
        <v>402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+'1-Баланс'!G54</f>
        <v>1048</v>
      </c>
      <c r="D70" s="197"/>
      <c r="E70" s="136">
        <f t="shared" si="1"/>
        <v>1048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1</v>
      </c>
      <c r="E73" s="137">
        <f>SUM(E74:E76)</f>
        <v>-1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1</v>
      </c>
      <c r="E74" s="136">
        <f t="shared" si="1"/>
        <v>-1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397</v>
      </c>
      <c r="D87" s="134">
        <f>SUM(D88:D92)+D96</f>
        <v>213</v>
      </c>
      <c r="E87" s="134">
        <f>SUM(E88:E92)+E96</f>
        <v>184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+'1-Баланс'!G64</f>
        <v>67</v>
      </c>
      <c r="D89" s="197">
        <v>62</v>
      </c>
      <c r="E89" s="136">
        <f t="shared" si="1"/>
        <v>5</v>
      </c>
      <c r="F89" s="196"/>
    </row>
    <row r="90" spans="1:6" ht="15.75">
      <c r="A90" s="370" t="s">
        <v>723</v>
      </c>
      <c r="B90" s="135" t="s">
        <v>724</v>
      </c>
      <c r="C90" s="197">
        <f>+'1-Баланс'!G65</f>
        <v>0</v>
      </c>
      <c r="D90" s="197">
        <v>19</v>
      </c>
      <c r="E90" s="136">
        <f t="shared" si="1"/>
        <v>-19</v>
      </c>
      <c r="F90" s="196"/>
    </row>
    <row r="91" spans="1:6" ht="15.75">
      <c r="A91" s="370" t="s">
        <v>725</v>
      </c>
      <c r="B91" s="135" t="s">
        <v>726</v>
      </c>
      <c r="C91" s="197">
        <f>+'1-Баланс'!G66</f>
        <v>23</v>
      </c>
      <c r="D91" s="197">
        <v>26</v>
      </c>
      <c r="E91" s="136">
        <f t="shared" si="1"/>
        <v>-3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298</v>
      </c>
      <c r="D92" s="138">
        <f>SUM(D93:D95)</f>
        <v>96</v>
      </c>
      <c r="E92" s="138">
        <f>SUM(E93:E95)</f>
        <v>202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12</v>
      </c>
      <c r="D94" s="197">
        <v>13</v>
      </c>
      <c r="E94" s="136">
        <f t="shared" si="1"/>
        <v>-1</v>
      </c>
      <c r="F94" s="196"/>
    </row>
    <row r="95" spans="1:6" ht="15.75">
      <c r="A95" s="370" t="s">
        <v>641</v>
      </c>
      <c r="B95" s="135" t="s">
        <v>732</v>
      </c>
      <c r="C95" s="197">
        <f>+'1-Баланс'!G68-C94</f>
        <v>286</v>
      </c>
      <c r="D95" s="197">
        <v>83</v>
      </c>
      <c r="E95" s="136">
        <f t="shared" si="1"/>
        <v>203</v>
      </c>
      <c r="F95" s="196"/>
    </row>
    <row r="96" spans="1:6" ht="15.75">
      <c r="A96" s="370" t="s">
        <v>733</v>
      </c>
      <c r="B96" s="135" t="s">
        <v>734</v>
      </c>
      <c r="C96" s="197">
        <f>+'1-Баланс'!G67</f>
        <v>9</v>
      </c>
      <c r="D96" s="197">
        <v>10</v>
      </c>
      <c r="E96" s="136">
        <f t="shared" si="1"/>
        <v>-1</v>
      </c>
      <c r="F96" s="196"/>
    </row>
    <row r="97" spans="1:6" ht="15.75">
      <c r="A97" s="370" t="s">
        <v>735</v>
      </c>
      <c r="B97" s="135" t="s">
        <v>736</v>
      </c>
      <c r="C97" s="197">
        <v>21434</v>
      </c>
      <c r="D97" s="197">
        <v>21434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21831</v>
      </c>
      <c r="D98" s="433">
        <f>D87+D82+D77+D73+D97</f>
        <v>21648</v>
      </c>
      <c r="E98" s="433">
        <f>E87+E82+E77+E73+E97</f>
        <v>183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23281</v>
      </c>
      <c r="D99" s="427">
        <f>D98+D70+D68</f>
        <v>21648</v>
      </c>
      <c r="E99" s="427">
        <f>E98+E70+E68</f>
        <v>1633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45321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Николова Драганова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7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45321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Николова Драганова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HGH Consult</cp:lastModifiedBy>
  <cp:lastPrinted>2024-01-30T12:56:48Z</cp:lastPrinted>
  <dcterms:created xsi:type="dcterms:W3CDTF">2006-09-16T00:00:00Z</dcterms:created>
  <dcterms:modified xsi:type="dcterms:W3CDTF">2024-01-30T18:16:18Z</dcterms:modified>
  <cp:category/>
  <cp:version/>
  <cp:contentType/>
  <cp:contentStatus/>
</cp:coreProperties>
</file>