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35" tabRatio="858" activeTab="4"/>
  </bookViews>
  <sheets>
    <sheet name="справка №1-БАЛАНС" sheetId="1" r:id="rId1"/>
    <sheet name="справка №2-ОТЧЕТ ЗА ДОХОДИТE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№4-ОСК'!$A$1:$M$40</definedName>
    <definedName name="_xlnm.Print_Area" localSheetId="6">'справка №7'!$A$2:$J$30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<sst xmlns="http://schemas.openxmlformats.org/spreadsheetml/2006/main" count="1064" uniqueCount="885">
  <si>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</si>
  <si>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</si>
  <si>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</si>
  <si>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</si>
  <si>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</si>
  <si>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</si>
  <si>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</si>
  <si>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</si>
  <si>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</si>
  <si>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</si>
  <si>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</si>
  <si>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</si>
  <si>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</si>
  <si>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</si>
  <si>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</si>
  <si>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</si>
  <si>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</si>
  <si>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</si>
  <si>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</si>
  <si>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</si>
  <si>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</si>
  <si>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</si>
  <si>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</si>
  <si>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</si>
  <si>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</si>
  <si>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</si>
  <si>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</si>
  <si>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</si>
  <si>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</si>
  <si>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</si>
  <si>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</si>
  <si>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</si>
  <si>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</si>
  <si>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</si>
  <si>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</si>
  <si>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</si>
  <si>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</si>
  <si>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</si>
  <si>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</si>
  <si>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</si>
  <si>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</si>
  <si>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</si>
  <si>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</si>
  <si>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</si>
  <si>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</si>
  <si>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</si>
  <si>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</si>
  <si>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</si>
  <si>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</si>
  <si>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</si>
  <si>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</si>
  <si>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</si>
  <si>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</si>
  <si>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</si>
  <si>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</si>
  <si>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</si>
  <si>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</si>
  <si>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</si>
  <si>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</si>
  <si>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</si>
  <si>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</si>
  <si>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</si>
  <si>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</si>
  <si>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</si>
  <si>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</si>
  <si>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</si>
  <si>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</si>
  <si>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</si>
  <si>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</si>
  <si>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</si>
  <si>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</si>
  <si>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</si>
  <si>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</si>
  <si>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</si>
  <si>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</si>
  <si>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</si>
  <si>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</si>
  <si>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</si>
  <si>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</si>
  <si>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</si>
  <si>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</si>
  <si>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</si>
  <si>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</si>
  <si>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</si>
  <si>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</si>
  <si>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</si>
  <si>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</si>
  <si>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</si>
  <si>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</si>
  <si>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</si>
  <si>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</si>
  <si>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</si>
  <si>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</si>
  <si>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</si>
  <si>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</si>
  <si>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</si>
  <si>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</si>
  <si>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</si>
  <si>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</si>
  <si>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</si>
  <si>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</si>
  <si>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</si>
  <si>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</si>
  <si>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</si>
  <si>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</si>
  <si>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</si>
  <si>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</si>
  <si>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</si>
  <si>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</si>
  <si>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</si>
  <si>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</si>
  <si>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</si>
  <si>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</si>
  <si>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</si>
  <si>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</si>
  <si>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</si>
  <si>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</si>
  <si>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</si>
  <si>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</si>
  <si>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</si>
  <si>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</si>
  <si>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</si>
  <si>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</si>
  <si>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</si>
  <si>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</si>
  <si>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</si>
  <si>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</si>
  <si>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</si>
  <si>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</si>
  <si>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</si>
  <si>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</si>
  <si>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</si>
  <si>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</si>
  <si>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</si>
  <si>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</si>
  <si>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</si>
  <si>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</si>
  <si>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</si>
  <si>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</si>
  <si>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</si>
  <si>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</si>
  <si>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</si>
  <si>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</si>
  <si>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</si>
  <si>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</si>
  <si>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</si>
  <si>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</si>
  <si>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</si>
  <si>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</si>
  <si>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</si>
  <si>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</si>
  <si>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</si>
  <si>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</si>
  <si>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</si>
  <si>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</si>
  <si>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</si>
  <si>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</si>
  <si>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</si>
  <si>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</si>
  <si>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</si>
  <si>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</si>
  <si>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</si>
  <si>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</si>
  <si>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</si>
  <si>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</si>
  <si>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</si>
  <si>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</si>
  <si>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</si>
  <si>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</si>
  <si>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</si>
  <si>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</si>
  <si>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</si>
  <si>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</si>
  <si>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</si>
  <si>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</si>
  <si>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</si>
  <si>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</si>
  <si>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</si>
  <si>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</si>
  <si>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</si>
  <si>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</si>
  <si>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</si>
  <si>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</si>
  <si>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</si>
  <si>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</si>
  <si>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</si>
  <si>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</si>
  <si>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</si>
  <si>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</si>
  <si>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</si>
  <si>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</si>
  <si>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</si>
  <si>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</si>
  <si>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</si>
  <si>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</si>
  <si>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</si>
  <si>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</si>
  <si>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</si>
  <si>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</si>
  <si>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</si>
  <si>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</si>
  <si>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</si>
  <si>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</si>
  <si>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</si>
  <si>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</si>
  <si>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</si>
  <si>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</si>
  <si>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</si>
  <si>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</si>
  <si>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</si>
  <si>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</si>
  <si>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</si>
  <si>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</si>
  <si>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</si>
  <si>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</si>
  <si>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</si>
  <si>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</si>
  <si>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</si>
  <si>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</si>
  <si>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</si>
  <si>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</si>
  <si>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</si>
  <si>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</si>
  <si>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</si>
  <si>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</si>
  <si>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</si>
  <si>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</si>
  <si>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</si>
  <si>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</si>
  <si>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</si>
  <si>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</si>
  <si>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</si>
  <si>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</si>
  <si>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</si>
  <si>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</si>
  <si>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</si>
  <si>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</si>
  <si>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</si>
  <si>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</si>
  <si>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</si>
  <si>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</si>
  <si>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</si>
  <si>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</si>
  <si>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</si>
  <si>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</si>
  <si>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</si>
  <si>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</si>
  <si>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</si>
  <si>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</si>
  <si>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</si>
  <si>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</si>
  <si>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</si>
  <si>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</si>
  <si>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</si>
  <si>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</si>
  <si>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</si>
  <si>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</si>
  <si>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</si>
  <si>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</si>
  <si>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</si>
  <si>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</si>
  <si>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</si>
  <si>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</si>
  <si>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</si>
  <si>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</si>
  <si>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</si>
  <si>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</si>
  <si>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</si>
  <si>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</si>
  <si>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</si>
  <si>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</si>
  <si>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</si>
  <si>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</si>
  <si>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</si>
  <si>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</si>
  <si>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</si>
  <si>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</si>
  <si>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</si>
  <si>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</si>
  <si>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</si>
  <si>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</si>
  <si>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</si>
  <si>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</si>
  <si>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</si>
  <si>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</si>
  <si>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</si>
  <si>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</si>
  <si>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</si>
  <si>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</si>
  <si>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</si>
  <si>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</si>
  <si>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</si>
  <si>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</si>
  <si>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</si>
  <si>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</si>
  <si>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</si>
  <si>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</si>
  <si>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</si>
  <si>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</si>
  <si>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</si>
  <si>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</si>
  <si>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</si>
  <si>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</si>
  <si>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</si>
  <si>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</si>
  <si>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</si>
  <si>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</si>
  <si>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</si>
  <si>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</si>
  <si>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</si>
  <si>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</si>
  <si>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</si>
  <si>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</si>
  <si>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</si>
  <si>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</si>
  <si>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</si>
  <si>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</si>
  <si>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</si>
  <si>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</si>
  <si>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</si>
  <si>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</si>
  <si>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</si>
  <si>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</si>
  <si>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</si>
  <si>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</si>
  <si>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</si>
  <si>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</si>
  <si>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</si>
  <si>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</si>
  <si>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</si>
  <si>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</si>
  <si>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</si>
  <si>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</si>
  <si>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</si>
  <si>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</si>
  <si>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</si>
  <si>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</si>
  <si>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</si>
  <si>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</si>
  <si>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</si>
  <si>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</si>
  <si>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</si>
  <si>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</si>
  <si>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</si>
  <si>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</si>
  <si>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</si>
  <si>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</si>
  <si>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</si>
  <si>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</si>
  <si>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</si>
  <si>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</si>
  <si>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</si>
  <si>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</si>
  <si>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</si>
  <si>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</si>
  <si>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</si>
  <si>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</si>
  <si>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</si>
  <si>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</si>
  <si>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</si>
  <si>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</si>
  <si>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</si>
  <si>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</si>
  <si>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</si>
  <si>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</si>
  <si>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</si>
  <si>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</si>
  <si>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</si>
  <si>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</si>
  <si>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</si>
  <si>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</si>
  <si>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</si>
  <si>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</si>
  <si>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</si>
  <si>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</si>
  <si>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</si>
  <si>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</si>
  <si>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</si>
  <si>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</si>
  <si>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</si>
  <si>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</si>
  <si>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</si>
  <si>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</si>
  <si>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</si>
  <si>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</si>
  <si>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</si>
  <si>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</si>
  <si>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</si>
  <si>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</si>
  <si>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</si>
  <si>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</si>
  <si>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</si>
  <si>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</si>
  <si>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</si>
  <si>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</si>
  <si>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</si>
  <si>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</si>
  <si>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</si>
  <si>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</si>
  <si>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</si>
  <si>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</si>
  <si>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</si>
  <si>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</si>
  <si>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</si>
  <si>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</si>
  <si>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</si>
  <si>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</si>
  <si>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</si>
  <si>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</si>
  <si>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</si>
  <si>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</si>
  <si>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</si>
  <si>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</si>
  <si>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</si>
  <si>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</si>
  <si>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</si>
  <si>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</si>
  <si>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</si>
  <si>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</si>
  <si>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</si>
  <si>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</si>
  <si>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</si>
  <si>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</si>
  <si>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</si>
  <si>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</si>
  <si>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</si>
  <si>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</si>
  <si>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</si>
  <si>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</si>
  <si>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</si>
  <si>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</si>
  <si>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</si>
  <si>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</si>
  <si>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</si>
  <si>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</si>
  <si>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</si>
  <si>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</si>
  <si>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</si>
  <si>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</si>
  <si>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</si>
  <si>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</si>
  <si>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</si>
  <si>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</si>
  <si>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</si>
  <si>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</si>
  <si>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</si>
  <si>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</si>
  <si>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</si>
  <si>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</si>
  <si>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</si>
  <si>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</si>
  <si>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</si>
  <si>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</si>
  <si>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</si>
  <si>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</si>
  <si>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</si>
  <si>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</si>
  <si>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</si>
  <si>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</si>
  <si>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</si>
  <si>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</si>
  <si>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</si>
  <si>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</si>
  <si>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</si>
  <si>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</si>
  <si>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</si>
  <si>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</si>
  <si>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</si>
  <si>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</si>
  <si>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</si>
  <si>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</si>
  <si>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</si>
  <si>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</si>
  <si>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</si>
  <si>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</si>
  <si>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</si>
  <si>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</si>
  <si>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</si>
  <si>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</si>
  <si>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</si>
  <si>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</si>
  <si>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</si>
  <si>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</si>
  <si>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</si>
  <si>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</si>
  <si>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</si>
  <si>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</si>
  <si>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</si>
  <si>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</si>
  <si>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</si>
  <si>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</si>
  <si>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</si>
  <si>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</si>
  <si>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</si>
  <si>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</si>
  <si>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</si>
  <si>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</si>
  <si>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</si>
  <si>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</si>
  <si>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</si>
  <si>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</si>
  <si>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</si>
  <si>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</si>
  <si>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</si>
  <si>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</si>
  <si>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</si>
  <si>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</si>
  <si>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</si>
  <si>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</si>
  <si>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</si>
  <si>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</si>
  <si>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</si>
  <si>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</si>
  <si>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</si>
  <si>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</si>
  <si>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</si>
  <si>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</si>
  <si>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</si>
  <si>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</si>
  <si>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</si>
  <si>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</si>
  <si>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</si>
  <si>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</si>
  <si>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</si>
  <si>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</si>
  <si>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</si>
  <si>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</si>
  <si>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</si>
  <si>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</si>
  <si>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</si>
  <si>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</si>
  <si>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</si>
  <si>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</si>
  <si>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</si>
  <si>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</si>
  <si>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</si>
  <si>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</si>
  <si>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</si>
  <si>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</si>
  <si>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</si>
  <si>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</si>
  <si>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</si>
  <si>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</si>
  <si>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</si>
  <si>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</si>
  <si>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</si>
  <si>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</si>
  <si>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</si>
  <si>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</si>
  <si>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</si>
  <si>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</si>
  <si>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</si>
  <si>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</si>
  <si>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</si>
  <si>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</si>
  <si>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</si>
  <si>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</si>
  <si>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</si>
  <si>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</si>
  <si>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</si>
  <si>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</si>
  <si>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</si>
  <si>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</si>
  <si>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</si>
  <si>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</si>
  <si>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</si>
  <si>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</si>
  <si>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</si>
  <si>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</si>
  <si>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</si>
  <si>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</si>
  <si>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</si>
  <si>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</si>
  <si>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</si>
  <si>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</si>
  <si>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</si>
  <si>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</si>
  <si>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</si>
  <si>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</si>
  <si>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</si>
  <si>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</si>
  <si>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</si>
  <si>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</si>
  <si>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</si>
  <si>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</si>
  <si>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</si>
  <si>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</si>
  <si>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</si>
  <si>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</si>
  <si>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</si>
  <si>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</si>
  <si>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</si>
  <si>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</si>
  <si>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</si>
  <si>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</si>
  <si>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</si>
  <si>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</si>
  <si>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</si>
  <si>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</si>
  <si>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</si>
  <si>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</si>
  <si>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</si>
  <si>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</si>
  <si>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</si>
  <si>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</si>
  <si>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</si>
  <si>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</si>
  <si>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</si>
  <si>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</si>
  <si>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</si>
  <si>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</si>
  <si>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</si>
  <si>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</si>
  <si>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</si>
  <si>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</si>
  <si>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</si>
  <si>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</si>
  <si>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</si>
  <si>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</si>
  <si>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</si>
  <si>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</si>
  <si>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</si>
  <si>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</si>
  <si>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</si>
  <si>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</si>
  <si>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</si>
  <si>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</si>
  <si>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</si>
  <si>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</si>
  <si>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</si>
  <si>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</si>
  <si>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</si>
  <si>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</si>
  <si>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</si>
  <si>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</si>
  <si>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</si>
  <si>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</si>
  <si>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</si>
  <si>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</si>
  <si>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</si>
  <si>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</si>
  <si>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</si>
  <si>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</si>
  <si>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</si>
  <si>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</si>
  <si>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</si>
  <si>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</si>
  <si>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</si>
  <si>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</si>
  <si>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</si>
  <si>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</si>
  <si>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</si>
  <si>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</si>
  <si>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</si>
  <si>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</si>
  <si>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</si>
  <si>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</si>
  <si>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</si>
  <si>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</si>
  <si>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</si>
  <si>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</si>
  <si>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</si>
  <si>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</si>
  <si>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</si>
  <si>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</si>
  <si>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</si>
  <si>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</si>
  <si>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</si>
  <si>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</si>
  <si>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</si>
  <si>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</si>
  <si>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</si>
  <si>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</si>
  <si>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</si>
  <si>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</si>
  <si>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</si>
  <si>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</si>
  <si>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</si>
  <si>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</si>
  <si>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</si>
  <si>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</si>
  <si>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</si>
  <si>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</si>
  <si>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</si>
  <si>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</si>
  <si>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</si>
  <si>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</si>
  <si>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</si>
  <si>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</si>
  <si>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</si>
  <si>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</si>
  <si>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</si>
  <si>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</si>
  <si>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</si>
  <si>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</si>
  <si>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</si>
  <si>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</si>
  <si>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</si>
  <si>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</si>
  <si>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</si>
  <si>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</si>
  <si>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</si>
  <si>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</si>
  <si>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</si>
  <si>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</si>
  <si>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</si>
  <si>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</si>
  <si>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</si>
  <si>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</si>
  <si>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</si>
  <si>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</si>
  <si>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</si>
  <si>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</si>
  <si>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</si>
  <si>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</si>
  <si>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</si>
  <si>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</si>
  <si>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</si>
  <si>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</si>
  <si>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</si>
  <si>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</si>
  <si>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</si>
  <si>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</si>
  <si>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</si>
  <si>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</si>
  <si>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</si>
  <si>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</si>
  <si>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</si>
  <si>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</si>
  <si>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</si>
  <si>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</si>
  <si>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</si>
  <si>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</si>
  <si>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</si>
  <si>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</si>
  <si>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</si>
  <si>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</si>
  <si>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</si>
  <si>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</si>
  <si>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</si>
  <si>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</si>
  <si>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</si>
  <si>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</si>
  <si>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</si>
  <si>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</si>
  <si>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</si>
  <si>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</si>
  <si>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</si>
  <si>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</si>
  <si>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</si>
  <si>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</si>
  <si>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</si>
  <si>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</si>
  <si>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</si>
  <si>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</si>
  <si>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</si>
  <si>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</si>
  <si>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</si>
  <si>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</si>
  <si>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</si>
  <si>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</si>
  <si>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</si>
  <si>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</si>
  <si>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</si>
  <si>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</si>
  <si>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</si>
  <si>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</si>
  <si>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</si>
  <si>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</si>
  <si>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</si>
  <si>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</si>
  <si>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</si>
  <si>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</si>
  <si>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</si>
  <si>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</si>
  <si>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</si>
  <si>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</si>
  <si>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</si>
  <si>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</si>
  <si>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</si>
  <si>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</si>
  <si>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</si>
  <si>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</si>
  <si>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</si>
  <si>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</si>
  <si>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</si>
  <si>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</si>
  <si>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</si>
  <si>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</si>
  <si>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</si>
  <si>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</si>
  <si>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</si>
  <si>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</si>
  <si>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</si>
  <si>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</si>
  <si>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</si>
  <si>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</si>
  <si>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</si>
  <si>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</si>
  <si>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</si>
  <si>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</si>
  <si>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</si>
  <si>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</si>
  <si>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</si>
  <si>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</si>
  <si>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</si>
  <si>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</si>
  <si>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</si>
  <si>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</si>
  <si>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</si>
  <si>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</si>
  <si>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</si>
  <si>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</si>
  <si>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</si>
  <si>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</si>
  <si>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</si>
  <si>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</si>
  <si>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</si>
  <si>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</si>
  <si>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</si>
  <si>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</si>
  <si>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</si>
  <si>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</si>
  <si>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</si>
  <si>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</si>
  <si>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</si>
  <si>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</si>
  <si>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</si>
  <si>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</si>
  <si>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</si>
  <si>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</si>
  <si>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</si>
  <si>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</si>
  <si>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</si>
  <si>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</si>
  <si>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</si>
  <si>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</si>
  <si>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</si>
  <si>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</si>
  <si>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</si>
  <si>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</si>
  <si>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</si>
  <si>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</si>
  <si>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</si>
  <si>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</si>
  <si>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</si>
  <si>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</si>
  <si>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</si>
  <si>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</si>
  <si>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</si>
  <si>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</si>
  <si>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</si>
  <si>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</si>
  <si>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Инвестиции в:</t>
  </si>
  <si>
    <t>Обща сума V: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</si>
  <si>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</si>
  <si>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</si>
  <si>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</si>
  <si>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</si>
  <si>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</si>
  <si>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</si>
  <si>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</si>
  <si>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</si>
  <si>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</si>
  <si>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себестойностен</t>
  </si>
  <si>
    <t>консолидиран</t>
  </si>
  <si>
    <t>1. Нюанс БГ АД</t>
  </si>
  <si>
    <t>1 Фрапорт ТСЕМ АД</t>
  </si>
  <si>
    <t>3 Амадеус България</t>
  </si>
  <si>
    <t>4 Луфтханза техник ООД</t>
  </si>
  <si>
    <t>5 ВТС АД</t>
  </si>
  <si>
    <t>6 Добрички Панаир АД</t>
  </si>
  <si>
    <t>7 Каварна газ ООД</t>
  </si>
  <si>
    <t>8 Суиспорт България АД</t>
  </si>
  <si>
    <t>2 Силвър Уингс България  ООД</t>
  </si>
  <si>
    <t>50,00%</t>
  </si>
  <si>
    <t>IV. Дял от печалбата на асоциирани и съвместни предприятия</t>
  </si>
  <si>
    <t>III. Дял от загубата на асоциирани и съвместни предприятия</t>
  </si>
  <si>
    <t>2. Вара Фери</t>
  </si>
  <si>
    <t>Дата на съставяне: 29082016</t>
  </si>
  <si>
    <t>дата 29.08.2016</t>
  </si>
  <si>
    <t>Дата на съставяне:29.08.2016</t>
  </si>
  <si>
    <t>Дата на съставяне: 29,08,2016</t>
  </si>
  <si>
    <t>29/8/2016</t>
  </si>
  <si>
    <t>Дата на съставяне: 29.08.2016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</si>
</sst>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/yyyy&quot; &quot;&quot;г.&quot;;@"/>
    <numFmt numFmtId="181" formatCode="dd/mm/yyyy&quot; &quot;&quot;г.&quot;;@"/>
    <numFmt numFmtId="182" formatCode="_(* #,##0_);_(* \(#,##0\);_(* &quot;-&quot;??_);_(@_)"/>
    <numFmt numFmtId="183" formatCode="0.0"/>
    <numFmt numFmtId="184" formatCode="0.000"/>
    <numFmt numFmtId="185" formatCode="0.000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8" fillId="0" borderId="0" xfId="63" applyFont="1" applyBorder="1" applyAlignment="1" applyProtection="1">
      <alignment horizontal="left" vertical="top"/>
      <protection locked="0"/>
    </xf>
    <xf numFmtId="0" fontId="10" fillId="0" borderId="0" xfId="66" applyFont="1">
      <alignment/>
      <protection/>
    </xf>
    <xf numFmtId="0" fontId="9" fillId="0" borderId="0" xfId="66" applyFont="1" applyAlignment="1">
      <alignment/>
      <protection/>
    </xf>
    <xf numFmtId="0" fontId="9" fillId="0" borderId="0" xfId="64" applyFont="1" applyAlignment="1">
      <alignment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Font="1" applyBorder="1" applyAlignment="1">
      <alignment vertical="center" wrapText="1"/>
      <protection/>
    </xf>
    <xf numFmtId="0" fontId="10" fillId="0" borderId="0" xfId="66" applyFont="1" applyBorder="1">
      <alignment/>
      <protection/>
    </xf>
    <xf numFmtId="0" fontId="10" fillId="0" borderId="10" xfId="66" applyFont="1" applyBorder="1" applyAlignment="1">
      <alignment vertical="center" wrapText="1"/>
      <protection/>
    </xf>
    <xf numFmtId="0" fontId="10" fillId="0" borderId="10" xfId="66" applyFont="1" applyBorder="1" applyAlignment="1">
      <alignment wrapText="1"/>
      <protection/>
    </xf>
    <xf numFmtId="3" fontId="10" fillId="0" borderId="0" xfId="66" applyNumberFormat="1" applyFont="1" applyBorder="1" applyAlignment="1" applyProtection="1">
      <alignment vertical="center"/>
      <protection locked="0"/>
    </xf>
    <xf numFmtId="0" fontId="9" fillId="0" borderId="0" xfId="66" applyFont="1" applyBorder="1" applyProtection="1">
      <alignment/>
      <protection locked="0"/>
    </xf>
    <xf numFmtId="49" fontId="9" fillId="0" borderId="11" xfId="66" applyNumberFormat="1" applyFont="1" applyBorder="1" applyAlignment="1">
      <alignment horizontal="center" vertical="center" wrapText="1"/>
      <protection/>
    </xf>
    <xf numFmtId="49" fontId="9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wrapText="1"/>
      <protection/>
    </xf>
    <xf numFmtId="49" fontId="9" fillId="0" borderId="0" xfId="66" applyNumberFormat="1" applyFont="1" applyBorder="1" applyAlignment="1" applyProtection="1">
      <alignment horizontal="center" wrapText="1"/>
      <protection locked="0"/>
    </xf>
    <xf numFmtId="49" fontId="10" fillId="33" borderId="10" xfId="66" applyNumberFormat="1" applyFont="1" applyFill="1" applyBorder="1" applyAlignment="1">
      <alignment horizontal="center" vertical="center" wrapText="1"/>
      <protection/>
    </xf>
    <xf numFmtId="49" fontId="9" fillId="0" borderId="12" xfId="66" applyNumberFormat="1" applyFont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10" fillId="0" borderId="0" xfId="61" applyFont="1" applyAlignment="1">
      <alignment horizontal="center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49" fontId="3" fillId="0" borderId="0" xfId="61" applyNumberFormat="1" applyFont="1" applyBorder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1" fontId="10" fillId="36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1" fontId="9" fillId="34" borderId="10" xfId="65" applyNumberFormat="1" applyFont="1" applyFill="1" applyBorder="1" applyAlignment="1" applyProtection="1">
      <alignment vertical="center"/>
      <protection locked="0"/>
    </xf>
    <xf numFmtId="3" fontId="9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Border="1" applyProtection="1">
      <alignment/>
      <protection/>
    </xf>
    <xf numFmtId="1" fontId="10" fillId="35" borderId="10" xfId="64" applyNumberFormat="1" applyFont="1" applyFill="1" applyBorder="1" applyAlignment="1" applyProtection="1">
      <alignment wrapText="1"/>
      <protection locked="0"/>
    </xf>
    <xf numFmtId="3" fontId="10" fillId="0" borderId="10" xfId="64" applyNumberFormat="1" applyFont="1" applyFill="1" applyBorder="1" applyAlignment="1" applyProtection="1">
      <alignment wrapText="1"/>
      <protection/>
    </xf>
    <xf numFmtId="1" fontId="10" fillId="36" borderId="10" xfId="64" applyNumberFormat="1" applyFont="1" applyFill="1" applyBorder="1" applyAlignment="1" applyProtection="1">
      <alignment wrapText="1"/>
      <protection locked="0"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3" fontId="10" fillId="0" borderId="10" xfId="66" applyNumberFormat="1" applyFont="1" applyBorder="1" applyAlignment="1" applyProtection="1">
      <alignment vertical="center"/>
      <protection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3" fontId="10" fillId="0" borderId="13" xfId="66" applyNumberFormat="1" applyFont="1" applyBorder="1" applyAlignment="1" applyProtection="1">
      <alignment vertical="center"/>
      <protection/>
    </xf>
    <xf numFmtId="3" fontId="10" fillId="0" borderId="11" xfId="66" applyNumberFormat="1" applyFont="1" applyBorder="1" applyAlignment="1" applyProtection="1">
      <alignment vertical="center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1" applyNumberFormat="1" applyFont="1" applyBorder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0" fillId="0" borderId="13" xfId="61" applyFont="1" applyFill="1" applyBorder="1" applyAlignment="1" applyProtection="1">
      <alignment horizontal="center" vertical="center" wrapText="1"/>
      <protection/>
    </xf>
    <xf numFmtId="1" fontId="10" fillId="33" borderId="14" xfId="61" applyNumberFormat="1" applyFont="1" applyFill="1" applyBorder="1" applyAlignment="1" applyProtection="1">
      <alignment horizontal="left" vertical="center" wrapText="1"/>
      <protection/>
    </xf>
    <xf numFmtId="1" fontId="10" fillId="33" borderId="14" xfId="61" applyNumberFormat="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11" xfId="61" applyFont="1" applyFill="1" applyBorder="1" applyAlignment="1" applyProtection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center" vertical="center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vertic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right" vertical="center" wrapText="1"/>
      <protection/>
    </xf>
    <xf numFmtId="49" fontId="9" fillId="0" borderId="0" xfId="59" applyNumberFormat="1" applyFont="1" applyBorder="1" applyAlignment="1" applyProtection="1">
      <alignment horizontal="right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8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 applyBorder="1">
      <alignment/>
      <protection/>
    </xf>
    <xf numFmtId="49" fontId="10" fillId="0" borderId="0" xfId="62" applyNumberFormat="1" applyFont="1">
      <alignment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" fontId="10" fillId="0" borderId="10" xfId="58" applyNumberFormat="1" applyFont="1" applyBorder="1" applyAlignment="1" applyProtection="1">
      <alignment horizontal="right" vertical="center" wrapText="1"/>
      <protection/>
    </xf>
    <xf numFmtId="0" fontId="10" fillId="0" borderId="10" xfId="58" applyFont="1" applyFill="1" applyBorder="1" applyAlignment="1" applyProtection="1">
      <alignment horizontal="right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0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8" applyNumberFormat="1" applyFont="1" applyFill="1" applyBorder="1" applyAlignment="1" applyProtection="1">
      <alignment horizontal="right"/>
      <protection locked="0"/>
    </xf>
    <xf numFmtId="1" fontId="10" fillId="36" borderId="10" xfId="58" applyNumberFormat="1" applyFont="1" applyFill="1" applyBorder="1" applyAlignment="1" applyProtection="1">
      <alignment horizontal="right"/>
      <protection locked="0"/>
    </xf>
    <xf numFmtId="1" fontId="10" fillId="0" borderId="10" xfId="58" applyNumberFormat="1" applyFont="1" applyBorder="1" applyAlignment="1" applyProtection="1">
      <alignment horizontal="right"/>
      <protection/>
    </xf>
    <xf numFmtId="1" fontId="10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58" applyNumberFormat="1" applyFont="1" applyBorder="1" applyProtection="1">
      <alignment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center"/>
      <protection/>
    </xf>
    <xf numFmtId="0" fontId="9" fillId="0" borderId="10" xfId="58" applyFont="1" applyBorder="1" applyAlignment="1" applyProtection="1">
      <alignment horizontal="center"/>
      <protection/>
    </xf>
    <xf numFmtId="1" fontId="10" fillId="0" borderId="10" xfId="58" applyNumberFormat="1" applyFont="1" applyBorder="1" applyAlignment="1" applyProtection="1">
      <alignment horizontal="center" vertical="center" wrapText="1"/>
      <protection/>
    </xf>
    <xf numFmtId="1" fontId="10" fillId="0" borderId="10" xfId="58" applyNumberFormat="1" applyFont="1" applyFill="1" applyBorder="1" applyAlignment="1" applyProtection="1">
      <alignment horizontal="right" vertical="center" wrapText="1"/>
      <protection/>
    </xf>
    <xf numFmtId="1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Protection="1">
      <alignment/>
      <protection/>
    </xf>
    <xf numFmtId="0" fontId="9" fillId="0" borderId="0" xfId="62" applyFont="1" applyProtection="1">
      <alignment/>
      <protection/>
    </xf>
    <xf numFmtId="0" fontId="9" fillId="0" borderId="10" xfId="58" applyFont="1" applyBorder="1" applyProtection="1">
      <alignment/>
      <protection/>
    </xf>
    <xf numFmtId="1" fontId="10" fillId="0" borderId="10" xfId="58" applyNumberFormat="1" applyFont="1" applyFill="1" applyBorder="1" applyAlignment="1" applyProtection="1">
      <alignment horizontal="right"/>
      <protection/>
    </xf>
    <xf numFmtId="1" fontId="9" fillId="34" borderId="16" xfId="65" applyNumberFormat="1" applyFont="1" applyFill="1" applyBorder="1" applyAlignment="1" applyProtection="1">
      <alignment vertical="center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9" fillId="0" borderId="10" xfId="65" applyFont="1" applyBorder="1" applyAlignment="1" applyProtection="1">
      <alignment horizontal="left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0" fillId="34" borderId="10" xfId="64" applyNumberFormat="1" applyFont="1" applyFill="1" applyBorder="1" applyAlignment="1" applyProtection="1">
      <alignment wrapText="1"/>
      <protection locked="0"/>
    </xf>
    <xf numFmtId="1" fontId="10" fillId="0" borderId="0" xfId="64" applyNumberFormat="1" applyFont="1" applyAlignment="1" applyProtection="1">
      <alignment wrapText="1"/>
      <protection/>
    </xf>
    <xf numFmtId="0" fontId="10" fillId="0" borderId="0" xfId="66" applyFont="1" applyBorder="1" applyProtection="1">
      <alignment/>
      <protection/>
    </xf>
    <xf numFmtId="0" fontId="9" fillId="0" borderId="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centerContinuous" vertical="center" wrapText="1"/>
      <protection/>
    </xf>
    <xf numFmtId="0" fontId="9" fillId="0" borderId="10" xfId="58" applyFont="1" applyBorder="1" applyAlignment="1" applyProtection="1">
      <alignment horizontal="centerContinuous" vertical="center" wrapText="1"/>
      <protection/>
    </xf>
    <xf numFmtId="1" fontId="10" fillId="0" borderId="0" xfId="61" applyNumberFormat="1" applyFont="1" applyBorder="1" applyAlignment="1">
      <alignment vertical="justify" wrapText="1"/>
      <protection/>
    </xf>
    <xf numFmtId="0" fontId="9" fillId="0" borderId="12" xfId="59" applyFont="1" applyBorder="1" applyAlignment="1" applyProtection="1">
      <alignment horizontal="centerContinuous" vertical="center" wrapText="1"/>
      <protection/>
    </xf>
    <xf numFmtId="0" fontId="9" fillId="0" borderId="14" xfId="59" applyFont="1" applyBorder="1" applyAlignment="1" applyProtection="1">
      <alignment horizontal="centerContinuous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8" fillId="0" borderId="0" xfId="63" applyFont="1" applyAlignment="1">
      <alignment horizontal="left" vertical="top" wrapText="1"/>
      <protection/>
    </xf>
    <xf numFmtId="0" fontId="8" fillId="0" borderId="0" xfId="63" applyFont="1" applyAlignment="1">
      <alignment vertical="top" wrapText="1"/>
      <protection/>
    </xf>
    <xf numFmtId="0" fontId="8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vertical="top" wrapText="1"/>
      <protection locked="0"/>
    </xf>
    <xf numFmtId="1" fontId="8" fillId="34" borderId="12" xfId="63" applyNumberFormat="1" applyFont="1" applyFill="1" applyBorder="1" applyAlignment="1" applyProtection="1">
      <alignment vertical="top" wrapText="1"/>
      <protection locked="0"/>
    </xf>
    <xf numFmtId="1" fontId="8" fillId="34" borderId="17" xfId="63" applyNumberFormat="1" applyFont="1" applyFill="1" applyBorder="1" applyAlignment="1" applyProtection="1">
      <alignment vertical="top" wrapText="1"/>
      <protection locked="0"/>
    </xf>
    <xf numFmtId="1" fontId="8" fillId="36" borderId="17" xfId="63" applyNumberFormat="1" applyFont="1" applyFill="1" applyBorder="1" applyAlignment="1" applyProtection="1">
      <alignment vertical="top" wrapText="1"/>
      <protection locked="0"/>
    </xf>
    <xf numFmtId="1" fontId="8" fillId="0" borderId="17" xfId="63" applyNumberFormat="1" applyFont="1" applyBorder="1" applyAlignment="1" applyProtection="1">
      <alignment vertical="top" wrapText="1"/>
      <protection/>
    </xf>
    <xf numFmtId="1" fontId="8" fillId="0" borderId="12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8" fillId="35" borderId="17" xfId="63" applyNumberFormat="1" applyFont="1" applyFill="1" applyBorder="1" applyAlignment="1" applyProtection="1">
      <alignment vertical="top" wrapText="1"/>
      <protection locked="0"/>
    </xf>
    <xf numFmtId="1" fontId="8" fillId="0" borderId="18" xfId="63" applyNumberFormat="1" applyFont="1" applyBorder="1" applyAlignment="1" applyProtection="1">
      <alignment vertical="top" wrapText="1"/>
      <protection/>
    </xf>
    <xf numFmtId="1" fontId="8" fillId="36" borderId="19" xfId="63" applyNumberFormat="1" applyFont="1" applyFill="1" applyBorder="1" applyAlignment="1" applyProtection="1">
      <alignment vertical="top" wrapText="1"/>
      <protection locked="0"/>
    </xf>
    <xf numFmtId="1" fontId="8" fillId="0" borderId="20" xfId="63" applyNumberFormat="1" applyFont="1" applyBorder="1" applyAlignment="1" applyProtection="1">
      <alignment vertical="top" wrapText="1"/>
      <protection/>
    </xf>
    <xf numFmtId="1" fontId="6" fillId="0" borderId="17" xfId="63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3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8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8" fillId="0" borderId="0" xfId="63" applyFont="1" applyAlignment="1" applyProtection="1">
      <alignment vertical="top" wrapText="1"/>
      <protection locked="0"/>
    </xf>
    <xf numFmtId="0" fontId="8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9" fillId="0" borderId="13" xfId="66" applyFont="1" applyBorder="1" applyAlignment="1">
      <alignment horizontal="centerContinuous" vertical="center" wrapText="1"/>
      <protection/>
    </xf>
    <xf numFmtId="0" fontId="9" fillId="0" borderId="15" xfId="66" applyFont="1" applyBorder="1" applyAlignment="1">
      <alignment horizontal="centerContinuous" vertical="center" wrapText="1"/>
      <protection/>
    </xf>
    <xf numFmtId="0" fontId="9" fillId="0" borderId="11" xfId="66" applyFont="1" applyBorder="1" applyAlignment="1">
      <alignment horizontal="centerContinuous" vertical="center" wrapText="1"/>
      <protection/>
    </xf>
    <xf numFmtId="0" fontId="9" fillId="33" borderId="13" xfId="66" applyFont="1" applyFill="1" applyBorder="1" applyAlignment="1">
      <alignment horizontal="centerContinuous" vertical="center" wrapText="1"/>
      <protection/>
    </xf>
    <xf numFmtId="0" fontId="9" fillId="33" borderId="11" xfId="66" applyFont="1" applyFill="1" applyBorder="1" applyAlignment="1">
      <alignment horizontal="centerContinuous" vertical="center" wrapText="1"/>
      <protection/>
    </xf>
    <xf numFmtId="1" fontId="10" fillId="33" borderId="12" xfId="66" applyNumberFormat="1" applyFont="1" applyFill="1" applyBorder="1" applyAlignment="1" applyProtection="1">
      <alignment vertical="center"/>
      <protection locked="0"/>
    </xf>
    <xf numFmtId="1" fontId="10" fillId="33" borderId="14" xfId="66" applyNumberFormat="1" applyFont="1" applyFill="1" applyBorder="1" applyAlignment="1" applyProtection="1">
      <alignment vertical="center"/>
      <protection locked="0"/>
    </xf>
    <xf numFmtId="1" fontId="10" fillId="33" borderId="16" xfId="66" applyNumberFormat="1" applyFont="1" applyFill="1" applyBorder="1" applyAlignment="1" applyProtection="1">
      <alignment vertical="center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0" fontId="9" fillId="0" borderId="13" xfId="66" applyFont="1" applyBorder="1" applyAlignment="1">
      <alignment horizontal="left"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10" fillId="34" borderId="10" xfId="61" applyNumberFormat="1" applyFont="1" applyFill="1" applyBorder="1" applyAlignment="1" applyProtection="1">
      <alignment vertical="center" wrapText="1"/>
      <protection locked="0"/>
    </xf>
    <xf numFmtId="0" fontId="11" fillId="0" borderId="13" xfId="61" applyFont="1" applyBorder="1" applyAlignment="1" applyProtection="1">
      <alignment vertical="center" wrapText="1"/>
      <protection/>
    </xf>
    <xf numFmtId="1" fontId="10" fillId="33" borderId="14" xfId="61" applyNumberFormat="1" applyFont="1" applyFill="1" applyBorder="1" applyAlignment="1" applyProtection="1">
      <alignment vertical="center" wrapText="1"/>
      <protection/>
    </xf>
    <xf numFmtId="0" fontId="10" fillId="0" borderId="11" xfId="61" applyFont="1" applyBorder="1" applyAlignment="1" applyProtection="1">
      <alignment vertical="center" wrapText="1"/>
      <protection/>
    </xf>
    <xf numFmtId="0" fontId="10" fillId="0" borderId="10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1" fontId="10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/>
    </xf>
    <xf numFmtId="1" fontId="10" fillId="0" borderId="12" xfId="66" applyNumberFormat="1" applyFont="1" applyFill="1" applyBorder="1" applyAlignment="1" applyProtection="1">
      <alignment vertical="center"/>
      <protection locked="0"/>
    </xf>
    <xf numFmtId="3" fontId="10" fillId="0" borderId="0" xfId="66" applyNumberFormat="1" applyFont="1" applyBorder="1" applyProtection="1">
      <alignment/>
      <protection/>
    </xf>
    <xf numFmtId="0" fontId="9" fillId="0" borderId="12" xfId="66" applyFont="1" applyBorder="1" applyAlignment="1">
      <alignment horizontal="centerContinuous" vertical="center" wrapText="1"/>
      <protection/>
    </xf>
    <xf numFmtId="0" fontId="9" fillId="0" borderId="16" xfId="66" applyFont="1" applyBorder="1" applyAlignment="1">
      <alignment horizontal="centerContinuous" vertical="center" wrapText="1"/>
      <protection/>
    </xf>
    <xf numFmtId="0" fontId="9" fillId="0" borderId="18" xfId="66" applyFont="1" applyBorder="1" applyAlignment="1">
      <alignment horizontal="left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23" xfId="66" applyFont="1" applyBorder="1" applyAlignment="1">
      <alignment horizontal="centerContinuous" vertical="center" wrapText="1"/>
      <protection/>
    </xf>
    <xf numFmtId="0" fontId="9" fillId="33" borderId="15" xfId="66" applyFont="1" applyFill="1" applyBorder="1" applyAlignment="1">
      <alignment horizontal="center" vertical="center" wrapText="1"/>
      <protection/>
    </xf>
    <xf numFmtId="0" fontId="9" fillId="0" borderId="18" xfId="66" applyFont="1" applyBorder="1" applyAlignment="1">
      <alignment horizontal="centerContinuous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9" fillId="0" borderId="24" xfId="66" applyFont="1" applyBorder="1" applyAlignment="1">
      <alignment horizontal="centerContinuous" vertical="center" wrapText="1"/>
      <protection/>
    </xf>
    <xf numFmtId="0" fontId="9" fillId="0" borderId="25" xfId="66" applyFont="1" applyBorder="1" applyAlignment="1">
      <alignment horizontal="centerContinuous" vertical="center" wrapText="1"/>
      <protection/>
    </xf>
    <xf numFmtId="49" fontId="9" fillId="0" borderId="18" xfId="66" applyNumberFormat="1" applyFont="1" applyBorder="1" applyAlignment="1">
      <alignment horizontal="centerContinuous" vertical="center" wrapText="1"/>
      <protection/>
    </xf>
    <xf numFmtId="49" fontId="9" fillId="0" borderId="19" xfId="66" applyNumberFormat="1" applyFont="1" applyBorder="1" applyAlignment="1">
      <alignment horizontal="centerContinuous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Continuous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Alignment="1" applyProtection="1">
      <alignment horizontal="left" vertical="top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26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top" wrapText="1"/>
      <protection/>
    </xf>
    <xf numFmtId="14" fontId="6" fillId="0" borderId="27" xfId="63" applyNumberFormat="1" applyFont="1" applyBorder="1" applyAlignment="1" applyProtection="1">
      <alignment horizontal="center" vertical="top" wrapText="1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4" fontId="6" fillId="0" borderId="28" xfId="63" applyNumberFormat="1" applyFont="1" applyBorder="1" applyAlignment="1" applyProtection="1">
      <alignment horizontal="center" vertical="top" wrapText="1"/>
      <protection/>
    </xf>
    <xf numFmtId="0" fontId="6" fillId="0" borderId="29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8" fillId="0" borderId="10" xfId="63" applyFont="1" applyBorder="1" applyAlignment="1" applyProtection="1">
      <alignment vertical="top" wrapText="1"/>
      <protection/>
    </xf>
    <xf numFmtId="0" fontId="8" fillId="0" borderId="12" xfId="63" applyFont="1" applyBorder="1" applyAlignment="1" applyProtection="1">
      <alignment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17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vertical="top" wrapText="1"/>
      <protection/>
    </xf>
    <xf numFmtId="1" fontId="17" fillId="37" borderId="10" xfId="63" applyNumberFormat="1" applyFont="1" applyFill="1" applyBorder="1" applyAlignment="1" applyProtection="1">
      <alignment vertical="top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3" applyNumberFormat="1" applyFont="1" applyFill="1" applyBorder="1" applyAlignment="1" applyProtection="1">
      <alignment vertical="top"/>
      <protection/>
    </xf>
    <xf numFmtId="0" fontId="17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8" fillId="0" borderId="30" xfId="63" applyNumberFormat="1" applyFont="1" applyBorder="1" applyAlignment="1" applyProtection="1">
      <alignment vertical="top" wrapText="1"/>
      <protection/>
    </xf>
    <xf numFmtId="1" fontId="8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8" fillId="0" borderId="32" xfId="63" applyNumberFormat="1" applyFont="1" applyBorder="1" applyAlignment="1" applyProtection="1">
      <alignment vertical="top" wrapText="1"/>
      <protection/>
    </xf>
    <xf numFmtId="1" fontId="8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6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0" fontId="10" fillId="0" borderId="10" xfId="65" applyFont="1" applyFill="1" applyBorder="1" applyProtection="1">
      <alignment/>
      <protection/>
    </xf>
    <xf numFmtId="0" fontId="10" fillId="0" borderId="10" xfId="65" applyFont="1" applyBorder="1" applyAlignment="1" applyProtection="1">
      <alignment vertical="center" wrapText="1"/>
      <protection/>
    </xf>
    <xf numFmtId="3" fontId="10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Fill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0" fillId="0" borderId="29" xfId="65" applyFont="1" applyBorder="1" applyAlignment="1" applyProtection="1">
      <alignment vertical="center" wrapText="1"/>
      <protection/>
    </xf>
    <xf numFmtId="49" fontId="10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0" fontId="9" fillId="0" borderId="12" xfId="65" applyFont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1" fontId="10" fillId="0" borderId="10" xfId="65" applyNumberFormat="1" applyFont="1" applyBorder="1" applyAlignment="1" applyProtection="1">
      <alignment vertical="center"/>
      <protection/>
    </xf>
    <xf numFmtId="1" fontId="8" fillId="38" borderId="17" xfId="63" applyNumberFormat="1" applyFont="1" applyFill="1" applyBorder="1" applyAlignment="1" applyProtection="1">
      <alignment vertical="top" wrapText="1"/>
      <protection locked="0"/>
    </xf>
    <xf numFmtId="1" fontId="8" fillId="38" borderId="12" xfId="63" applyNumberFormat="1" applyFont="1" applyFill="1" applyBorder="1" applyAlignment="1" applyProtection="1">
      <alignment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0" fontId="10" fillId="0" borderId="0" xfId="64" applyFont="1" applyFill="1" applyAlignment="1" applyProtection="1">
      <alignment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 vertical="center" wrapText="1"/>
      <protection locked="0"/>
    </xf>
    <xf numFmtId="1" fontId="10" fillId="0" borderId="0" xfId="64" applyNumberFormat="1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centerContinuous" wrapText="1"/>
      <protection/>
    </xf>
    <xf numFmtId="0" fontId="10" fillId="0" borderId="0" xfId="64" applyFont="1" applyAlignment="1" applyProtection="1">
      <alignment horizontal="center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14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horizontal="center" wrapText="1"/>
      <protection/>
    </xf>
    <xf numFmtId="49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Fill="1" applyBorder="1" applyAlignment="1" applyProtection="1">
      <alignment wrapText="1"/>
      <protection/>
    </xf>
    <xf numFmtId="49" fontId="10" fillId="0" borderId="10" xfId="64" applyNumberFormat="1" applyFont="1" applyFill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right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0" fillId="0" borderId="10" xfId="64" applyNumberFormat="1" applyFont="1" applyFill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49" fontId="10" fillId="0" borderId="0" xfId="64" applyNumberFormat="1" applyFont="1" applyBorder="1" applyAlignment="1" applyProtection="1">
      <alignment wrapText="1"/>
      <protection/>
    </xf>
    <xf numFmtId="1" fontId="10" fillId="0" borderId="0" xfId="64" applyNumberFormat="1" applyFont="1" applyFill="1" applyBorder="1" applyAlignment="1" applyProtection="1">
      <alignment wrapText="1"/>
      <protection/>
    </xf>
    <xf numFmtId="0" fontId="9" fillId="0" borderId="0" xfId="64" applyFont="1" applyAlignment="1" applyProtection="1">
      <alignment horizontal="center"/>
      <protection/>
    </xf>
    <xf numFmtId="1" fontId="10" fillId="0" borderId="10" xfId="66" applyNumberFormat="1" applyFont="1" applyFill="1" applyBorder="1" applyAlignment="1" applyProtection="1">
      <alignment vertical="center"/>
      <protection/>
    </xf>
    <xf numFmtId="1" fontId="10" fillId="0" borderId="12" xfId="66" applyNumberFormat="1" applyFont="1" applyFill="1" applyBorder="1" applyAlignment="1" applyProtection="1">
      <alignment vertical="center"/>
      <protection/>
    </xf>
    <xf numFmtId="0" fontId="9" fillId="0" borderId="0" xfId="66" applyFont="1" applyBorder="1" applyAlignment="1" applyProtection="1">
      <alignment vertical="center" wrapText="1"/>
      <protection locked="0"/>
    </xf>
    <xf numFmtId="49" fontId="9" fillId="0" borderId="0" xfId="66" applyNumberFormat="1" applyFont="1" applyBorder="1" applyAlignment="1" applyProtection="1">
      <alignment horizontal="center" vertical="center" wrapText="1"/>
      <protection locked="0"/>
    </xf>
    <xf numFmtId="0" fontId="10" fillId="0" borderId="0" xfId="66" applyFont="1" applyBorder="1" applyProtection="1">
      <alignment/>
      <protection locked="0"/>
    </xf>
    <xf numFmtId="0" fontId="10" fillId="0" borderId="0" xfId="62" applyFont="1" applyProtection="1">
      <alignment/>
      <protection locked="0"/>
    </xf>
    <xf numFmtId="0" fontId="9" fillId="0" borderId="0" xfId="61" applyFont="1" applyAlignment="1" applyProtection="1">
      <alignment horizontal="centerContinuous"/>
      <protection locked="0"/>
    </xf>
    <xf numFmtId="0" fontId="10" fillId="0" borderId="0" xfId="61" applyFont="1" applyProtection="1">
      <alignment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9" fillId="0" borderId="0" xfId="61" applyFont="1" applyProtection="1">
      <alignment/>
      <protection locked="0"/>
    </xf>
    <xf numFmtId="0" fontId="10" fillId="0" borderId="0" xfId="61" applyFont="1" applyAlignment="1" applyProtection="1">
      <alignment/>
      <protection locked="0"/>
    </xf>
    <xf numFmtId="0" fontId="9" fillId="0" borderId="0" xfId="61" applyFont="1" applyBorder="1" applyAlignment="1" applyProtection="1">
      <alignment horizontal="centerContinuous"/>
      <protection locked="0"/>
    </xf>
    <xf numFmtId="0" fontId="9" fillId="0" borderId="10" xfId="61" applyFont="1" applyBorder="1" applyAlignment="1" applyProtection="1">
      <alignment horizontal="centerContinuous" vertical="center" wrapText="1"/>
      <protection/>
    </xf>
    <xf numFmtId="0" fontId="9" fillId="0" borderId="10" xfId="61" applyFont="1" applyBorder="1" applyAlignment="1" applyProtection="1">
      <alignment horizontal="center" vertical="center" wrapText="1"/>
      <protection/>
    </xf>
    <xf numFmtId="49" fontId="9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horizontal="centerContinuous"/>
      <protection/>
    </xf>
    <xf numFmtId="0" fontId="9" fillId="0" borderId="10" xfId="61" applyFont="1" applyBorder="1" applyAlignment="1" applyProtection="1">
      <alignment horizontal="center"/>
      <protection/>
    </xf>
    <xf numFmtId="0" fontId="9" fillId="0" borderId="10" xfId="61" applyFont="1" applyBorder="1" applyAlignment="1" applyProtection="1">
      <alignment wrapText="1"/>
      <protection/>
    </xf>
    <xf numFmtId="0" fontId="9" fillId="0" borderId="10" xfId="61" applyFont="1" applyBorder="1" applyAlignment="1" applyProtection="1">
      <alignment vertical="justify" wrapText="1"/>
      <protection/>
    </xf>
    <xf numFmtId="49" fontId="9" fillId="33" borderId="10" xfId="61" applyNumberFormat="1" applyFont="1" applyFill="1" applyBorder="1" applyAlignment="1" applyProtection="1">
      <alignment vertical="justify" wrapText="1"/>
      <protection/>
    </xf>
    <xf numFmtId="0" fontId="10" fillId="33" borderId="10" xfId="61" applyFont="1" applyFill="1" applyBorder="1" applyAlignment="1" applyProtection="1">
      <alignment horizontal="left" vertical="center" wrapText="1"/>
      <protection/>
    </xf>
    <xf numFmtId="0" fontId="10" fillId="0" borderId="10" xfId="61" applyFont="1" applyBorder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right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Protection="1">
      <alignment/>
      <protection/>
    </xf>
    <xf numFmtId="0" fontId="9" fillId="0" borderId="10" xfId="61" applyFont="1" applyBorder="1" applyAlignment="1" applyProtection="1">
      <alignment horizontal="left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0" fontId="9" fillId="0" borderId="12" xfId="61" applyFont="1" applyBorder="1" applyAlignment="1" applyProtection="1">
      <alignment vertical="justify" wrapText="1"/>
      <protection/>
    </xf>
    <xf numFmtId="49" fontId="10" fillId="33" borderId="12" xfId="61" applyNumberFormat="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justify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vertical="justify"/>
      <protection/>
    </xf>
    <xf numFmtId="1" fontId="10" fillId="33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0" xfId="61" applyNumberFormat="1" applyFont="1" applyAlignment="1" applyProtection="1">
      <alignment vertical="center" wrapText="1"/>
      <protection locked="0"/>
    </xf>
    <xf numFmtId="1" fontId="10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49" fontId="10" fillId="0" borderId="0" xfId="62" applyNumberFormat="1" applyFont="1" applyProtection="1">
      <alignment/>
      <protection locked="0"/>
    </xf>
    <xf numFmtId="0" fontId="9" fillId="0" borderId="12" xfId="58" applyFont="1" applyBorder="1" applyAlignment="1" applyProtection="1">
      <alignment horizontal="centerContinuous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1" fontId="9" fillId="0" borderId="16" xfId="58" applyNumberFormat="1" applyFont="1" applyBorder="1" applyAlignment="1" applyProtection="1">
      <alignment horizontal="centerContinuous" vertical="center" wrapText="1"/>
      <protection/>
    </xf>
    <xf numFmtId="49" fontId="9" fillId="0" borderId="11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9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49" fontId="9" fillId="0" borderId="10" xfId="58" applyNumberFormat="1" applyFont="1" applyBorder="1" applyAlignment="1" applyProtection="1">
      <alignment horizontal="lef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49" fontId="9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0" fontId="9" fillId="0" borderId="16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right"/>
      <protection/>
    </xf>
    <xf numFmtId="0" fontId="10" fillId="0" borderId="10" xfId="58" applyFont="1" applyBorder="1" applyAlignment="1" applyProtection="1">
      <alignment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 quotePrefix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49" fontId="9" fillId="0" borderId="0" xfId="58" applyNumberFormat="1" applyFont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Alignment="1" applyProtection="1">
      <alignment vertical="justify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49" fontId="10" fillId="0" borderId="0" xfId="59" applyNumberFormat="1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horizontal="centerContinuous" vertical="center" wrapText="1"/>
      <protection locked="0"/>
    </xf>
    <xf numFmtId="0" fontId="9" fillId="0" borderId="0" xfId="59" applyFont="1" applyAlignment="1" applyProtection="1">
      <alignment horizontal="center" vertical="center" wrapText="1"/>
      <protection locked="0"/>
    </xf>
    <xf numFmtId="0" fontId="9" fillId="0" borderId="0" xfId="59" applyFont="1" applyProtection="1">
      <alignment/>
      <protection locked="0"/>
    </xf>
    <xf numFmtId="1" fontId="10" fillId="0" borderId="0" xfId="59" applyNumberFormat="1" applyFont="1" applyAlignment="1" applyProtection="1">
      <alignment horizontal="centerContinuous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0" fontId="9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9" fillId="0" borderId="0" xfId="6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9" fillId="35" borderId="10" xfId="65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3" applyFont="1" applyFill="1" applyAlignment="1" applyProtection="1">
      <alignment horizontal="right" vertical="top" wrapText="1"/>
      <protection locked="0"/>
    </xf>
    <xf numFmtId="1" fontId="9" fillId="0" borderId="10" xfId="61" applyNumberFormat="1" applyFont="1" applyBorder="1" applyAlignment="1" applyProtection="1">
      <alignment vertical="center" wrapText="1"/>
      <protection/>
    </xf>
    <xf numFmtId="1" fontId="8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2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16" fillId="37" borderId="10" xfId="63" applyFont="1" applyFill="1" applyBorder="1" applyAlignment="1" applyProtection="1">
      <alignment horizontal="left" vertical="top" wrapText="1"/>
      <protection/>
    </xf>
    <xf numFmtId="1" fontId="16" fillId="37" borderId="10" xfId="63" applyNumberFormat="1" applyFont="1" applyFill="1" applyBorder="1" applyAlignment="1" applyProtection="1">
      <alignment vertical="top" wrapText="1"/>
      <protection/>
    </xf>
    <xf numFmtId="0" fontId="16" fillId="37" borderId="37" xfId="63" applyFont="1" applyFill="1" applyBorder="1" applyAlignment="1" applyProtection="1">
      <alignment horizontal="left" vertical="top" wrapText="1"/>
      <protection/>
    </xf>
    <xf numFmtId="0" fontId="16" fillId="37" borderId="29" xfId="63" applyFont="1" applyFill="1" applyBorder="1" applyAlignment="1" applyProtection="1">
      <alignment vertical="top" wrapText="1"/>
      <protection/>
    </xf>
    <xf numFmtId="0" fontId="16" fillId="37" borderId="38" xfId="63" applyFont="1" applyFill="1" applyBorder="1" applyAlignment="1" applyProtection="1">
      <alignment vertical="top" wrapText="1"/>
      <protection/>
    </xf>
    <xf numFmtId="49" fontId="16" fillId="37" borderId="36" xfId="63" applyNumberFormat="1" applyFont="1" applyFill="1" applyBorder="1" applyAlignment="1" applyProtection="1">
      <alignment vertical="center" wrapText="1"/>
      <protection/>
    </xf>
    <xf numFmtId="0" fontId="16" fillId="37" borderId="10" xfId="63" applyFont="1" applyFill="1" applyBorder="1" applyAlignment="1" applyProtection="1">
      <alignment vertical="top" wrapText="1"/>
      <protection/>
    </xf>
    <xf numFmtId="0" fontId="3" fillId="0" borderId="0" xfId="60" applyNumberFormat="1" applyFont="1" applyAlignment="1" applyProtection="1">
      <alignment horizontal="center" vertical="center" wrapText="1"/>
      <protection locked="0"/>
    </xf>
    <xf numFmtId="49" fontId="3" fillId="0" borderId="0" xfId="60" applyNumberFormat="1" applyFont="1" applyProtection="1">
      <alignment/>
      <protection locked="0"/>
    </xf>
    <xf numFmtId="0" fontId="10" fillId="0" borderId="10" xfId="61" applyFont="1" applyBorder="1" applyAlignment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/>
      <protection/>
    </xf>
    <xf numFmtId="1" fontId="10" fillId="34" borderId="10" xfId="61" applyNumberFormat="1" applyFont="1" applyFill="1" applyBorder="1" applyAlignment="1" applyProtection="1">
      <alignment vertical="center"/>
      <protection locked="0"/>
    </xf>
    <xf numFmtId="1" fontId="10" fillId="34" borderId="10" xfId="61" applyNumberFormat="1" applyFont="1" applyFill="1" applyBorder="1" applyAlignment="1" applyProtection="1">
      <alignment horizontal="center" vertic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3" fontId="9" fillId="0" borderId="16" xfId="65" applyNumberFormat="1" applyFont="1" applyFill="1" applyBorder="1" applyAlignment="1" applyProtection="1">
      <alignment vertical="center"/>
      <protection/>
    </xf>
    <xf numFmtId="0" fontId="8" fillId="0" borderId="10" xfId="63" applyFont="1" applyBorder="1" applyAlignment="1" applyProtection="1">
      <alignment vertical="top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centerContinuous"/>
      <protection/>
    </xf>
    <xf numFmtId="0" fontId="10" fillId="0" borderId="35" xfId="65" applyFont="1" applyBorder="1" applyAlignment="1" applyProtection="1">
      <alignment horizontal="centerContinuous"/>
      <protection/>
    </xf>
    <xf numFmtId="0" fontId="10" fillId="0" borderId="0" xfId="65" applyFont="1" applyAlignment="1" applyProtection="1">
      <alignment horizontal="centerContinuous" wrapText="1"/>
      <protection/>
    </xf>
    <xf numFmtId="0" fontId="9" fillId="0" borderId="0" xfId="63" applyFont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9" fillId="0" borderId="0" xfId="64" applyFont="1" applyFill="1" applyBorder="1" applyAlignment="1" applyProtection="1">
      <alignment horizontal="centerContinuous" vertical="center" wrapText="1"/>
      <protection/>
    </xf>
    <xf numFmtId="0" fontId="9" fillId="0" borderId="0" xfId="63" applyFont="1" applyBorder="1" applyAlignment="1" applyProtection="1">
      <alignment horizontal="left" vertical="top"/>
      <protection/>
    </xf>
    <xf numFmtId="0" fontId="9" fillId="0" borderId="0" xfId="63" applyFont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top" wrapText="1"/>
      <protection/>
    </xf>
    <xf numFmtId="0" fontId="9" fillId="0" borderId="0" xfId="64" applyFont="1" applyFill="1" applyBorder="1" applyAlignment="1" applyProtection="1">
      <alignment horizontal="right" vertical="center" wrapText="1"/>
      <protection/>
    </xf>
    <xf numFmtId="0" fontId="9" fillId="0" borderId="0" xfId="66" applyFont="1" applyAlignment="1" applyProtection="1">
      <alignment horizontal="centerContinuous" wrapText="1"/>
      <protection/>
    </xf>
    <xf numFmtId="49" fontId="9" fillId="0" borderId="0" xfId="66" applyNumberFormat="1" applyFont="1" applyAlignment="1" applyProtection="1">
      <alignment horizontal="center" wrapText="1"/>
      <protection/>
    </xf>
    <xf numFmtId="0" fontId="9" fillId="0" borderId="0" xfId="66" applyFont="1" applyAlignment="1" applyProtection="1">
      <alignment horizontal="centerContinuous"/>
      <protection/>
    </xf>
    <xf numFmtId="0" fontId="10" fillId="0" borderId="0" xfId="66" applyFont="1" applyProtection="1">
      <alignment/>
      <protection/>
    </xf>
    <xf numFmtId="0" fontId="8" fillId="0" borderId="0" xfId="66" applyFont="1" applyAlignment="1" applyProtection="1">
      <alignment horizontal="left"/>
      <protection/>
    </xf>
    <xf numFmtId="0" fontId="9" fillId="0" borderId="0" xfId="66" applyFont="1" applyBorder="1" applyAlignment="1" applyProtection="1">
      <alignment horizontal="left" vertical="top" wrapText="1"/>
      <protection/>
    </xf>
    <xf numFmtId="0" fontId="9" fillId="0" borderId="0" xfId="66" applyFont="1" applyProtection="1">
      <alignment/>
      <protection/>
    </xf>
    <xf numFmtId="0" fontId="9" fillId="0" borderId="0" xfId="64" applyFont="1" applyAlignment="1" applyProtection="1">
      <alignment horizontal="right" wrapText="1"/>
      <protection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Border="1" applyAlignment="1" applyProtection="1">
      <alignment horizontal="center" vertical="justify" wrapText="1"/>
      <protection/>
    </xf>
    <xf numFmtId="0" fontId="10" fillId="0" borderId="0" xfId="61" applyFont="1" applyProtection="1">
      <alignment/>
      <protection/>
    </xf>
    <xf numFmtId="0" fontId="9" fillId="0" borderId="0" xfId="61" applyFont="1" applyBorder="1" applyAlignment="1" applyProtection="1">
      <alignment vertical="justify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58" applyFont="1" applyAlignment="1" applyProtection="1">
      <alignment horizontal="center" vertical="center"/>
      <protection/>
    </xf>
    <xf numFmtId="49" fontId="9" fillId="0" borderId="0" xfId="58" applyNumberFormat="1" applyFont="1" applyAlignment="1" applyProtection="1">
      <alignment horizontal="center" vertical="center"/>
      <protection/>
    </xf>
    <xf numFmtId="1" fontId="9" fillId="0" borderId="0" xfId="58" applyNumberFormat="1" applyFont="1" applyAlignment="1" applyProtection="1">
      <alignment horizontal="center" vertical="center"/>
      <protection/>
    </xf>
    <xf numFmtId="0" fontId="9" fillId="0" borderId="0" xfId="61" applyFont="1" applyAlignment="1" applyProtection="1">
      <alignment horizontal="left" vertical="justify"/>
      <protection/>
    </xf>
    <xf numFmtId="1" fontId="9" fillId="0" borderId="0" xfId="61" applyNumberFormat="1" applyFont="1" applyBorder="1" applyAlignment="1" applyProtection="1">
      <alignment vertical="justify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left" vertical="center" wrapText="1"/>
      <protection/>
    </xf>
    <xf numFmtId="1" fontId="10" fillId="0" borderId="0" xfId="58" applyNumberFormat="1" applyFont="1" applyAlignment="1" applyProtection="1">
      <alignment horizontal="left" vertical="center" wrapText="1"/>
      <protection/>
    </xf>
    <xf numFmtId="0" fontId="9" fillId="0" borderId="0" xfId="58" applyFont="1" applyProtection="1">
      <alignment/>
      <protection/>
    </xf>
    <xf numFmtId="0" fontId="9" fillId="0" borderId="0" xfId="61" applyFont="1" applyAlignment="1" applyProtection="1">
      <alignment vertical="justify"/>
      <protection/>
    </xf>
    <xf numFmtId="0" fontId="8" fillId="0" borderId="0" xfId="61" applyFont="1" applyAlignment="1" applyProtection="1">
      <alignment horizontal="left"/>
      <protection/>
    </xf>
    <xf numFmtId="0" fontId="9" fillId="0" borderId="0" xfId="61" applyFont="1" applyBorder="1" applyAlignment="1" applyProtection="1">
      <alignment vertical="justify"/>
      <protection/>
    </xf>
    <xf numFmtId="49" fontId="9" fillId="0" borderId="0" xfId="6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181" fontId="9" fillId="0" borderId="0" xfId="63" applyNumberFormat="1" applyFont="1" applyBorder="1" applyAlignment="1" applyProtection="1">
      <alignment horizontal="left" vertical="top"/>
      <protection/>
    </xf>
    <xf numFmtId="0" fontId="4" fillId="0" borderId="0" xfId="60" applyFont="1" applyAlignment="1">
      <alignment horizontal="left" vertical="center" wrapText="1"/>
      <protection/>
    </xf>
    <xf numFmtId="49" fontId="4" fillId="0" borderId="0" xfId="60" applyNumberFormat="1" applyFont="1" applyAlignment="1">
      <alignment horizontal="left" vertical="center" wrapText="1"/>
      <protection/>
    </xf>
    <xf numFmtId="0" fontId="4" fillId="0" borderId="0" xfId="62" applyFont="1">
      <alignment/>
      <protection/>
    </xf>
    <xf numFmtId="0" fontId="4" fillId="0" borderId="0" xfId="61" applyNumberFormat="1" applyFont="1" applyAlignment="1">
      <alignment horizontal="center"/>
      <protection/>
    </xf>
    <xf numFmtId="0" fontId="4" fillId="0" borderId="0" xfId="61" applyFont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0" fontId="4" fillId="0" borderId="0" xfId="62" applyFont="1" applyProtection="1">
      <alignment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49" fontId="4" fillId="0" borderId="0" xfId="62" applyNumberFormat="1" applyFont="1">
      <alignment/>
      <protection/>
    </xf>
    <xf numFmtId="0" fontId="9" fillId="0" borderId="0" xfId="62" applyFont="1" applyBorder="1" applyProtection="1">
      <alignment/>
      <protection/>
    </xf>
    <xf numFmtId="0" fontId="10" fillId="0" borderId="0" xfId="62" applyFont="1" applyBorder="1" applyProtection="1">
      <alignment/>
      <protection/>
    </xf>
    <xf numFmtId="1" fontId="10" fillId="0" borderId="0" xfId="62" applyNumberFormat="1" applyFont="1" applyBorder="1" applyProtection="1">
      <alignment/>
      <protection/>
    </xf>
    <xf numFmtId="1" fontId="10" fillId="0" borderId="0" xfId="62" applyNumberFormat="1" applyFont="1" applyProtection="1">
      <alignment/>
      <protection locked="0"/>
    </xf>
    <xf numFmtId="49" fontId="10" fillId="0" borderId="0" xfId="62" applyNumberFormat="1" applyFont="1" applyProtection="1">
      <alignment/>
      <protection/>
    </xf>
    <xf numFmtId="1" fontId="10" fillId="0" borderId="0" xfId="62" applyNumberFormat="1" applyFont="1" applyProtection="1">
      <alignment/>
      <protection/>
    </xf>
    <xf numFmtId="0" fontId="8" fillId="0" borderId="0" xfId="63" applyFont="1" applyAlignment="1" applyProtection="1">
      <alignment vertical="top"/>
      <protection/>
    </xf>
    <xf numFmtId="0" fontId="8" fillId="0" borderId="0" xfId="63" applyFont="1" applyAlignment="1" applyProtection="1">
      <alignment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 applyProtection="1">
      <alignment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 applyProtection="1">
      <alignment/>
      <protection locked="0"/>
    </xf>
    <xf numFmtId="0" fontId="9" fillId="0" borderId="0" xfId="66" applyFont="1">
      <alignment/>
      <protection/>
    </xf>
    <xf numFmtId="0" fontId="9" fillId="0" borderId="0" xfId="6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Alignment="1">
      <alignment wrapText="1"/>
      <protection/>
    </xf>
    <xf numFmtId="49" fontId="10" fillId="0" borderId="0" xfId="66" applyNumberFormat="1" applyFont="1" applyAlignment="1">
      <alignment horizontal="center" wrapText="1"/>
      <protection/>
    </xf>
    <xf numFmtId="0" fontId="8" fillId="0" borderId="0" xfId="63" applyFont="1" applyFill="1" applyAlignment="1" applyProtection="1">
      <alignment vertical="top"/>
      <protection/>
    </xf>
    <xf numFmtId="0" fontId="8" fillId="0" borderId="0" xfId="63" applyFont="1" applyFill="1" applyAlignment="1" applyProtection="1">
      <alignment horizontal="right" vertical="top" wrapText="1"/>
      <protection/>
    </xf>
    <xf numFmtId="0" fontId="10" fillId="0" borderId="0" xfId="64" applyFont="1" applyFill="1" applyAlignment="1" applyProtection="1">
      <alignment wrapText="1"/>
      <protection/>
    </xf>
    <xf numFmtId="0" fontId="10" fillId="0" borderId="0" xfId="65" applyFont="1" applyProtection="1">
      <alignment/>
      <protection/>
    </xf>
    <xf numFmtId="0" fontId="10" fillId="0" borderId="0" xfId="65" applyFont="1">
      <alignment/>
      <protection/>
    </xf>
    <xf numFmtId="0" fontId="4" fillId="0" borderId="0" xfId="65" applyFont="1" applyAlignment="1" applyProtection="1">
      <alignment horizontal="left" wrapText="1"/>
      <protection/>
    </xf>
    <xf numFmtId="0" fontId="9" fillId="0" borderId="0" xfId="65" applyFont="1" applyAlignment="1" applyProtection="1">
      <alignment horizontal="right"/>
      <protection/>
    </xf>
    <xf numFmtId="0" fontId="10" fillId="0" borderId="10" xfId="65" applyFont="1" applyBorder="1" applyProtection="1">
      <alignment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34" borderId="10" xfId="65" applyNumberFormat="1" applyFont="1" applyFill="1" applyBorder="1" applyProtection="1">
      <alignment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0" fillId="36" borderId="10" xfId="65" applyNumberFormat="1" applyFont="1" applyFill="1" applyBorder="1" applyProtection="1">
      <alignment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49" fontId="9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0" fontId="10" fillId="0" borderId="0" xfId="65" applyFont="1" applyBorder="1" applyAlignment="1" applyProtection="1">
      <alignment wrapText="1"/>
      <protection locked="0"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1" fontId="10" fillId="0" borderId="0" xfId="65" applyNumberFormat="1" applyFont="1" applyProtection="1">
      <alignment/>
      <protection locked="0"/>
    </xf>
    <xf numFmtId="0" fontId="10" fillId="0" borderId="0" xfId="65" applyFont="1" applyBorder="1" applyAlignment="1">
      <alignment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Alignment="1">
      <alignment wrapText="1"/>
      <protection/>
    </xf>
    <xf numFmtId="0" fontId="8" fillId="0" borderId="0" xfId="63" applyFont="1" applyAlignment="1" applyProtection="1">
      <alignment horizontal="right" vertical="top" wrapText="1"/>
      <protection locked="0"/>
    </xf>
    <xf numFmtId="0" fontId="8" fillId="0" borderId="0" xfId="63" applyFont="1" applyAlignment="1" applyProtection="1">
      <alignment horizontal="right" vertical="top"/>
      <protection locked="0"/>
    </xf>
    <xf numFmtId="49" fontId="19" fillId="0" borderId="10" xfId="65" applyNumberFormat="1" applyFont="1" applyBorder="1" applyAlignment="1" applyProtection="1">
      <alignment horizontal="centerContinuous" wrapText="1"/>
      <protection/>
    </xf>
    <xf numFmtId="1" fontId="10" fillId="35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4" fontId="4" fillId="0" borderId="0" xfId="63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9" fontId="4" fillId="34" borderId="10" xfId="69" applyFont="1" applyFill="1" applyBorder="1" applyAlignment="1" applyProtection="1">
      <alignment horizontal="right" vertical="center" wrapText="1"/>
      <protection locked="0"/>
    </xf>
    <xf numFmtId="9" fontId="4" fillId="0" borderId="10" xfId="69" applyFont="1" applyBorder="1" applyAlignment="1">
      <alignment horizontal="right" vertical="center" wrapText="1"/>
    </xf>
    <xf numFmtId="10" fontId="4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9" fillId="0" borderId="0" xfId="63" applyFont="1" applyBorder="1" applyAlignment="1" applyProtection="1">
      <alignment horizontal="left" vertical="top" wrapText="1"/>
      <protection/>
    </xf>
    <xf numFmtId="18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5" applyFont="1" applyAlignment="1" applyProtection="1">
      <alignment horizontal="left" wrapText="1"/>
      <protection/>
    </xf>
    <xf numFmtId="0" fontId="9" fillId="0" borderId="0" xfId="65" applyFont="1" applyBorder="1" applyAlignment="1" applyProtection="1">
      <alignment horizontal="left" wrapText="1"/>
      <protection/>
    </xf>
    <xf numFmtId="0" fontId="10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>
      <alignment horizontal="center" wrapText="1"/>
      <protection/>
    </xf>
    <xf numFmtId="0" fontId="9" fillId="0" borderId="0" xfId="66" applyFont="1" applyBorder="1" applyAlignment="1" applyProtection="1">
      <alignment horizontal="left"/>
      <protection locked="0"/>
    </xf>
    <xf numFmtId="0" fontId="9" fillId="0" borderId="0" xfId="63" applyNumberFormat="1" applyFont="1" applyBorder="1" applyAlignment="1" applyProtection="1">
      <alignment horizontal="left" vertical="top" wrapText="1"/>
      <protection/>
    </xf>
    <xf numFmtId="0" fontId="9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/>
      <protection/>
    </xf>
    <xf numFmtId="0" fontId="8" fillId="0" borderId="0" xfId="66" applyFont="1" applyAlignment="1" applyProtection="1">
      <alignment horizontal="right"/>
      <protection/>
    </xf>
    <xf numFmtId="181" fontId="9" fillId="0" borderId="32" xfId="63" applyNumberFormat="1" applyFont="1" applyBorder="1" applyAlignment="1" applyProtection="1">
      <alignment horizontal="left" vertical="top" wrapText="1"/>
      <protection/>
    </xf>
    <xf numFmtId="0" fontId="3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/>
      <protection/>
    </xf>
    <xf numFmtId="181" fontId="9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Border="1" applyAlignment="1" applyProtection="1">
      <alignment horizontal="right" vertical="justify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24" xfId="61" applyFont="1" applyBorder="1" applyAlignment="1" applyProtection="1">
      <alignment horizontal="center" vertical="center" wrapText="1"/>
      <protection/>
    </xf>
    <xf numFmtId="0" fontId="9" fillId="0" borderId="23" xfId="61" applyFont="1" applyBorder="1" applyAlignment="1" applyProtection="1">
      <alignment horizontal="center" vertical="center" wrapText="1"/>
      <protection/>
    </xf>
    <xf numFmtId="0" fontId="9" fillId="0" borderId="25" xfId="61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left"/>
      <protection locked="0"/>
    </xf>
    <xf numFmtId="0" fontId="10" fillId="0" borderId="0" xfId="61" applyFont="1" applyAlignment="1" applyProtection="1">
      <alignment horizontal="left"/>
      <protection locked="0"/>
    </xf>
    <xf numFmtId="0" fontId="9" fillId="0" borderId="13" xfId="61" applyFont="1" applyBorder="1" applyAlignment="1" applyProtection="1">
      <alignment horizontal="center" vertical="center" wrapText="1"/>
      <protection/>
    </xf>
    <xf numFmtId="0" fontId="9" fillId="0" borderId="11" xfId="61" applyFont="1" applyBorder="1" applyAlignment="1" applyProtection="1">
      <alignment horizontal="center" vertical="center" wrapText="1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49" fontId="9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center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0" fontId="9" fillId="0" borderId="0" xfId="58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center" vertical="center" wrapText="1"/>
      <protection/>
    </xf>
    <xf numFmtId="181" fontId="9" fillId="0" borderId="0" xfId="61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6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1" applyNumberFormat="1" applyFont="1" applyAlignment="1" applyProtection="1">
      <alignment horizontal="left" vertical="justify"/>
      <protection/>
    </xf>
    <xf numFmtId="181" fontId="9" fillId="0" borderId="0" xfId="61" applyNumberFormat="1" applyFont="1" applyBorder="1" applyAlignment="1" applyProtection="1">
      <alignment horizontal="left" vertical="justify"/>
      <protection/>
    </xf>
    <xf numFmtId="1" fontId="9" fillId="0" borderId="0" xfId="59" applyNumberFormat="1" applyFont="1" applyAlignment="1" applyProtection="1">
      <alignment horizontal="center" vertical="center" wrapText="1"/>
      <protection locked="0"/>
    </xf>
    <xf numFmtId="49" fontId="9" fillId="0" borderId="0" xfId="59" applyNumberFormat="1" applyFont="1" applyAlignment="1" applyProtection="1">
      <alignment horizontal="center" vertical="center" wrapText="1"/>
      <protection locked="0"/>
    </xf>
    <xf numFmtId="0" fontId="8" fillId="0" borderId="0" xfId="6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1" applyFont="1" applyAlignment="1" applyProtection="1">
      <alignment horizontal="right"/>
      <protection/>
    </xf>
    <xf numFmtId="0" fontId="3" fillId="0" borderId="0" xfId="60" applyNumberFormat="1" applyFont="1" applyAlignment="1" applyProtection="1">
      <alignment horizontal="left" vertical="center" wrapText="1"/>
      <protection locked="0"/>
    </xf>
    <xf numFmtId="181" fontId="3" fillId="0" borderId="0" xfId="61" applyNumberFormat="1" applyFont="1" applyAlignment="1" applyProtection="1">
      <alignment horizontal="left" vertical="justify"/>
      <protection locked="0"/>
    </xf>
    <xf numFmtId="0" fontId="3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anio\Local%20Settings\Temporary%20Internet%20Files\Content.IE5\IDQZKBS1\bse-Chim.12.07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IMIMPORT\consol%20062016\&#1088;&#1072;&#1073;&#1086;&#1090;&#1085;&#1072;\Goodwill%20Chimimport%20062016%20ne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IMIMPORT\consol%20062016\&#1088;&#1072;&#1073;&#1086;&#1090;&#1085;&#1072;\sum%20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EPS 2016"/>
      <sheetName val="Structure Chimimport (2015)"/>
      <sheetName val="Consolidation base"/>
      <sheetName val="Sheet2"/>
      <sheetName val="Structure Chimimport"/>
      <sheetName val="RP 3112012"/>
      <sheetName val="Investments%"/>
      <sheetName val="Associates"/>
      <sheetName val="Finalgoodwill'11"/>
      <sheetName val="Balance ALL"/>
      <sheetName val="balance word"/>
      <sheetName val="сегменти"/>
      <sheetName val="IS word"/>
      <sheetName val="IS ALL"/>
      <sheetName val="CFS ALL - да се пейстне в уърд"/>
      <sheetName val="CFS ALL (2015)"/>
      <sheetName val="dma word"/>
      <sheetName val="PPE"/>
      <sheetName val="intA word"/>
      <sheetName val="IntAssets"/>
      <sheetName val="inv Prop word"/>
      <sheetName val="InvProp"/>
      <sheetName val="Gwill"/>
      <sheetName val="Subsidiaries"/>
      <sheetName val="Joint Venture"/>
      <sheetName val="Associates "/>
      <sheetName val="LTFA"/>
      <sheetName val="DEF TAX"/>
      <sheetName val="Inventories"/>
      <sheetName val="STFA"/>
      <sheetName val="Assets - held for sale"/>
      <sheetName val="Share Capital"/>
      <sheetName val="Ordinary Shares CHIM"/>
      <sheetName val="Privilage Shares CHIM"/>
      <sheetName val="Other Reserves&amp;RetainedEarnings"/>
      <sheetName val="Intra-group shares"/>
      <sheetName val="Armeec 2012"/>
      <sheetName val="POAD 31122012"/>
      <sheetName val="Share Premium"/>
      <sheetName val="Non - controling interest"/>
      <sheetName val="other payables"/>
      <sheetName val="CFS"/>
      <sheetName val="Equity"/>
      <sheetName val=" EPS 2015"/>
      <sheetName val=" EPS 2014"/>
      <sheetName val=" EPS 2013"/>
      <sheetName val="Purchаse"/>
      <sheetName val="Sheet1"/>
      <sheetName val="rel parties"/>
      <sheetName val="Sheet3"/>
      <sheetName val="inv2012"/>
      <sheetName val="FL"/>
      <sheetName val="turnover FL"/>
      <sheetName val="Transactions Rel Parties"/>
      <sheetName val="Rec&amp;Pay REL P"/>
      <sheetName val="Sheet8"/>
      <sheetName val="new interests 2013 2014 2015"/>
      <sheetName val="associated WORD"/>
      <sheetName val="cons CCB"/>
      <sheetName val="ELimination ZHBG DefTax"/>
      <sheetName val="Sheet4"/>
      <sheetName val="bond CCB"/>
      <sheetName val="revaluation ITIL"/>
      <sheetName val="Sheet5"/>
      <sheetName val="Sheet6"/>
      <sheetName val="Sheet7"/>
      <sheetName val="akcionerni knigi"/>
      <sheetName val="от 28022016"/>
      <sheetName val="Sheet9"/>
      <sheetName val="Sheet10"/>
      <sheetName val="Sheet11"/>
      <sheetName val="Sheet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irvalue"/>
      <sheetName val="МСС 19"/>
      <sheetName val="труд"/>
      <sheetName val="RISKS"/>
      <sheetName val="Hierarchy"/>
      <sheetName val="SFP"/>
      <sheetName val="SCI"/>
      <sheetName val="SChE"/>
      <sheetName val="CFS"/>
      <sheetName val="CFS PRODUCTION&amp;TRADE"/>
      <sheetName val="CFS FINANCE"/>
      <sheetName val="CFS Aviation Transport"/>
      <sheetName val="CFS Sea&amp;River Transport"/>
      <sheetName val="CFS REAL ESTATE"/>
      <sheetName val="CFS Construction"/>
      <sheetName val="Shares"/>
      <sheetName val="B1PPE"/>
      <sheetName val="B2IntA"/>
      <sheetName val="B3InvP"/>
      <sheetName val="B4GW"/>
      <sheetName val="B5Subs"/>
      <sheetName val="B6Assoc"/>
      <sheetName val="B6AJointVen"/>
      <sheetName val="B7LRFA"/>
      <sheetName val="B8SRFA"/>
      <sheetName val="B9Invent"/>
      <sheetName val="B9A CContr"/>
      <sheetName val="B10 TrREc"/>
      <sheetName val="B11LORec"/>
      <sheetName val="B11ORec"/>
      <sheetName val="B12Cash"/>
      <sheetName val="B12A AHS"/>
      <sheetName val="B13Lease"/>
      <sheetName val="B14DefTax (assets)"/>
      <sheetName val="B14DefTax(liability)"/>
      <sheetName val="B15ShCap"/>
      <sheetName val="B16Res"/>
      <sheetName val="B17LTFL"/>
      <sheetName val="B18STFL"/>
      <sheetName val="B19LROP"/>
      <sheetName val="B20Tax&amp;OPay"/>
      <sheetName val="B21LR groupR"/>
      <sheetName val="B22SR groupR"/>
      <sheetName val="B23LR groupP"/>
      <sheetName val="B24SR groupP"/>
      <sheetName val="B25related"/>
      <sheetName val="B26LR relatedR"/>
      <sheetName val="B27SR relatedR"/>
      <sheetName val="B28LR relatedP"/>
      <sheetName val="B29SR relatedP"/>
      <sheetName val="B30LR groupP"/>
      <sheetName val="B31LR relatedP"/>
      <sheetName val="B32"/>
      <sheetName val="B33 Sp.Res."/>
      <sheetName val="B34"/>
      <sheetName val="B35"/>
      <sheetName val="B36"/>
      <sheetName val="I1"/>
      <sheetName val="I2"/>
      <sheetName val="I1A"/>
      <sheetName val="I3"/>
      <sheetName val="I4"/>
      <sheetName val="I14A"/>
      <sheetName val="I5"/>
      <sheetName val="I6"/>
      <sheetName val="I7"/>
      <sheetName val="I7 А"/>
      <sheetName val="I7 admin"/>
      <sheetName val="I8"/>
      <sheetName val="I9"/>
      <sheetName val="I10"/>
      <sheetName val="I12"/>
      <sheetName val="I12 admin"/>
      <sheetName val="I13"/>
      <sheetName val="I14"/>
      <sheetName val="I15"/>
      <sheetName val="I16"/>
      <sheetName val="I16 admin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3A"/>
      <sheetName val="I34"/>
      <sheetName val="I35"/>
      <sheetName val="I36"/>
      <sheetName val="I37"/>
      <sheetName val="I38"/>
      <sheetName val="I41"/>
      <sheetName val="I42"/>
      <sheetName val="I43"/>
      <sheetName val="I44"/>
      <sheetName val="I45"/>
      <sheetName val="I46"/>
      <sheetName val="I40"/>
      <sheetName val="I39 Shares 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zoomScaleSheetLayoutView="90" zoomScalePageLayoutView="0" workbookViewId="0" topLeftCell="A79">
      <selection activeCell="G74" sqref="G74:H7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0" t="s">
        <v>863</v>
      </c>
      <c r="F3" s="217" t="s">
        <v>2</v>
      </c>
      <c r="G3" s="172"/>
      <c r="H3" s="172">
        <v>627519</v>
      </c>
    </row>
    <row r="4" spans="1:8" ht="15">
      <c r="A4" s="579" t="s">
        <v>3</v>
      </c>
      <c r="B4" s="585"/>
      <c r="C4" s="585"/>
      <c r="D4" s="585"/>
      <c r="E4" s="502" t="s">
        <v>865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60273</v>
      </c>
      <c r="D11" s="151">
        <v>60260</v>
      </c>
      <c r="E11" s="237" t="s">
        <v>22</v>
      </c>
      <c r="F11" s="242" t="s">
        <v>23</v>
      </c>
      <c r="G11" s="152">
        <v>224987</v>
      </c>
      <c r="H11" s="152">
        <v>225092</v>
      </c>
    </row>
    <row r="12" spans="1:8" ht="15">
      <c r="A12" s="235" t="s">
        <v>24</v>
      </c>
      <c r="B12" s="241" t="s">
        <v>25</v>
      </c>
      <c r="C12" s="151">
        <v>77164</v>
      </c>
      <c r="D12" s="151">
        <v>74771</v>
      </c>
      <c r="E12" s="237" t="s">
        <v>26</v>
      </c>
      <c r="F12" s="242" t="s">
        <v>27</v>
      </c>
      <c r="G12" s="153">
        <v>224987</v>
      </c>
      <c r="H12" s="153">
        <v>144239</v>
      </c>
    </row>
    <row r="13" spans="1:8" ht="15">
      <c r="A13" s="235" t="s">
        <v>28</v>
      </c>
      <c r="B13" s="241" t="s">
        <v>29</v>
      </c>
      <c r="C13" s="151">
        <v>20109</v>
      </c>
      <c r="D13" s="151">
        <v>21935</v>
      </c>
      <c r="E13" s="237" t="s">
        <v>30</v>
      </c>
      <c r="F13" s="242" t="s">
        <v>31</v>
      </c>
      <c r="G13" s="153">
        <v>0</v>
      </c>
      <c r="H13" s="153">
        <f>+H11-H12</f>
        <v>80853</v>
      </c>
    </row>
    <row r="14" spans="1:8" ht="15">
      <c r="A14" s="235" t="s">
        <v>32</v>
      </c>
      <c r="B14" s="241" t="s">
        <v>33</v>
      </c>
      <c r="C14" s="151">
        <v>101498</v>
      </c>
      <c r="D14" s="151">
        <v>102848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80037</v>
      </c>
      <c r="D15" s="151">
        <v>82010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100748</v>
      </c>
      <c r="D17" s="151">
        <v>84318</v>
      </c>
      <c r="E17" s="243" t="s">
        <v>46</v>
      </c>
      <c r="F17" s="245" t="s">
        <v>47</v>
      </c>
      <c r="G17" s="154">
        <f>G11+G14+G15+G16</f>
        <v>224987</v>
      </c>
      <c r="H17" s="154">
        <f>H11+H14+H15+H16</f>
        <v>225092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46055</v>
      </c>
      <c r="D18" s="151">
        <v>42305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485884</v>
      </c>
      <c r="D19" s="155">
        <f>SUM(D11:D18)</f>
        <v>468447</v>
      </c>
      <c r="E19" s="237" t="s">
        <v>53</v>
      </c>
      <c r="F19" s="242" t="s">
        <v>54</v>
      </c>
      <c r="G19" s="152">
        <v>218774</v>
      </c>
      <c r="H19" s="152">
        <v>218469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319851</v>
      </c>
      <c r="D20" s="151">
        <v>302421</v>
      </c>
      <c r="E20" s="237" t="s">
        <v>57</v>
      </c>
      <c r="F20" s="242" t="s">
        <v>58</v>
      </c>
      <c r="G20" s="158">
        <f>+H20+3322</f>
        <v>6009</v>
      </c>
      <c r="H20" s="158">
        <f>6661-4240+266</f>
        <v>2687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74633</v>
      </c>
      <c r="H21" s="156">
        <f>SUM(H22:H24)</f>
        <v>68894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f>80642-6009-2973</f>
        <v>71660</v>
      </c>
      <c r="H22" s="152">
        <f>71581-5660</f>
        <v>65921</v>
      </c>
    </row>
    <row r="23" spans="1:13" ht="15">
      <c r="A23" s="235" t="s">
        <v>66</v>
      </c>
      <c r="B23" s="241" t="s">
        <v>67</v>
      </c>
      <c r="C23" s="151">
        <v>32397</v>
      </c>
      <c r="D23" s="151">
        <v>42199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1065</v>
      </c>
      <c r="D24" s="151">
        <v>1247</v>
      </c>
      <c r="E24" s="237" t="s">
        <v>72</v>
      </c>
      <c r="F24" s="242" t="s">
        <v>73</v>
      </c>
      <c r="G24" s="152">
        <v>2973</v>
      </c>
      <c r="H24" s="152">
        <v>2973</v>
      </c>
    </row>
    <row r="25" spans="1:18" ht="15">
      <c r="A25" s="235" t="s">
        <v>74</v>
      </c>
      <c r="B25" s="241" t="s">
        <v>75</v>
      </c>
      <c r="C25" s="151">
        <v>19496</v>
      </c>
      <c r="D25" s="151">
        <v>19009</v>
      </c>
      <c r="E25" s="253" t="s">
        <v>76</v>
      </c>
      <c r="F25" s="245" t="s">
        <v>77</v>
      </c>
      <c r="G25" s="154">
        <f>G19+G20+G21</f>
        <v>299416</v>
      </c>
      <c r="H25" s="154">
        <f>H19+H20+H21</f>
        <v>290050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128453</v>
      </c>
      <c r="D26" s="151">
        <v>131367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181411</v>
      </c>
      <c r="D27" s="155">
        <f>SUM(D23:D26)</f>
        <v>193822</v>
      </c>
      <c r="E27" s="253" t="s">
        <v>83</v>
      </c>
      <c r="F27" s="242" t="s">
        <v>84</v>
      </c>
      <c r="G27" s="154">
        <f>SUM(G28:G30)</f>
        <v>746712</v>
      </c>
      <c r="H27" s="154">
        <f>SUM(H28:H30)</f>
        <v>704427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746712</v>
      </c>
      <c r="H28" s="152">
        <v>704427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33317</v>
      </c>
      <c r="D30" s="151">
        <v>33317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42177</v>
      </c>
      <c r="H31" s="152">
        <v>58483</v>
      </c>
      <c r="M31" s="157"/>
    </row>
    <row r="32" spans="1:15" ht="15">
      <c r="A32" s="235" t="s">
        <v>98</v>
      </c>
      <c r="B32" s="250" t="s">
        <v>99</v>
      </c>
      <c r="C32" s="155">
        <f>C30+C31</f>
        <v>33317</v>
      </c>
      <c r="D32" s="155">
        <f>D30+D31</f>
        <v>33317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788889</v>
      </c>
      <c r="H33" s="154">
        <f>H27+H31+H32</f>
        <v>762910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28366</v>
      </c>
      <c r="D34" s="155">
        <f>SUM(D35:D38)</f>
        <v>26845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6043</v>
      </c>
      <c r="D36" s="151">
        <v>6043</v>
      </c>
      <c r="E36" s="237" t="s">
        <v>110</v>
      </c>
      <c r="F36" s="261" t="s">
        <v>111</v>
      </c>
      <c r="G36" s="154">
        <f>G25+G17+G33</f>
        <v>1313292</v>
      </c>
      <c r="H36" s="154">
        <f>H25+H17+H33</f>
        <v>1278052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22323</v>
      </c>
      <c r="D37" s="151">
        <v>20802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418535</v>
      </c>
      <c r="D39" s="159">
        <f>D40+D41+D43</f>
        <v>646342</v>
      </c>
      <c r="E39" s="445" t="s">
        <v>118</v>
      </c>
      <c r="F39" s="261" t="s">
        <v>119</v>
      </c>
      <c r="G39" s="158">
        <v>241988</v>
      </c>
      <c r="H39" s="158">
        <v>239083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418202</v>
      </c>
      <c r="D40" s="151">
        <v>608342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333</v>
      </c>
      <c r="D43" s="151">
        <v>38000</v>
      </c>
      <c r="E43" s="243" t="s">
        <v>130</v>
      </c>
      <c r="F43" s="242" t="s">
        <v>131</v>
      </c>
      <c r="G43" s="152">
        <v>2842</v>
      </c>
      <c r="H43" s="152">
        <v>3607</v>
      </c>
      <c r="M43" s="157"/>
    </row>
    <row r="44" spans="1:8" ht="15">
      <c r="A44" s="235" t="s">
        <v>132</v>
      </c>
      <c r="B44" s="264" t="s">
        <v>133</v>
      </c>
      <c r="C44" s="151">
        <v>192038</v>
      </c>
      <c r="D44" s="151">
        <v>184285</v>
      </c>
      <c r="E44" s="268" t="s">
        <v>134</v>
      </c>
      <c r="F44" s="242" t="s">
        <v>135</v>
      </c>
      <c r="G44" s="152">
        <v>93723</v>
      </c>
      <c r="H44" s="152">
        <v>99153</v>
      </c>
    </row>
    <row r="45" spans="1:15" ht="15">
      <c r="A45" s="235" t="s">
        <v>136</v>
      </c>
      <c r="B45" s="249" t="s">
        <v>137</v>
      </c>
      <c r="C45" s="155">
        <f>C34+C39+C44</f>
        <v>638939</v>
      </c>
      <c r="D45" s="155">
        <f>D34+D39+D44</f>
        <v>857472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554</v>
      </c>
      <c r="H46" s="152">
        <v>4382</v>
      </c>
    </row>
    <row r="47" spans="1:13" ht="15">
      <c r="A47" s="235" t="s">
        <v>143</v>
      </c>
      <c r="B47" s="241" t="s">
        <v>144</v>
      </c>
      <c r="C47" s="151">
        <v>7257</v>
      </c>
      <c r="D47" s="151">
        <v>11774</v>
      </c>
      <c r="E47" s="251" t="s">
        <v>145</v>
      </c>
      <c r="F47" s="242" t="s">
        <v>146</v>
      </c>
      <c r="G47" s="152">
        <v>162714</v>
      </c>
      <c r="H47" s="152">
        <v>171848</v>
      </c>
      <c r="M47" s="157"/>
    </row>
    <row r="48" spans="1:8" ht="15">
      <c r="A48" s="235" t="s">
        <v>147</v>
      </c>
      <c r="B48" s="244" t="s">
        <v>148</v>
      </c>
      <c r="C48" s="151">
        <v>148551</v>
      </c>
      <c r="D48" s="151">
        <v>127368</v>
      </c>
      <c r="E48" s="237" t="s">
        <v>149</v>
      </c>
      <c r="F48" s="242" t="s">
        <v>150</v>
      </c>
      <c r="G48" s="152">
        <v>2116331</v>
      </c>
      <c r="H48" s="152">
        <v>2141059</v>
      </c>
    </row>
    <row r="49" spans="1:18" ht="15">
      <c r="A49" s="235" t="s">
        <v>151</v>
      </c>
      <c r="B49" s="241" t="s">
        <v>152</v>
      </c>
      <c r="C49" s="151">
        <v>107</v>
      </c>
      <c r="D49" s="151">
        <v>29</v>
      </c>
      <c r="E49" s="251" t="s">
        <v>51</v>
      </c>
      <c r="F49" s="245" t="s">
        <v>153</v>
      </c>
      <c r="G49" s="154">
        <f>SUM(G43:G48)</f>
        <v>2376164</v>
      </c>
      <c r="H49" s="154">
        <f>SUM(H43:H48)</f>
        <v>2420049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1491407</v>
      </c>
      <c r="D50" s="151">
        <v>1638730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1647322</v>
      </c>
      <c r="D51" s="155">
        <f>SUM(D47:D50)</f>
        <v>1777901</v>
      </c>
      <c r="E51" s="251" t="s">
        <v>157</v>
      </c>
      <c r="F51" s="245" t="s">
        <v>158</v>
      </c>
      <c r="G51" s="152">
        <v>53566</v>
      </c>
      <c r="H51" s="152">
        <f>5401-2094+598+2728+42876</f>
        <v>49509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2094</v>
      </c>
      <c r="H52" s="152">
        <v>2094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29440</v>
      </c>
      <c r="H53" s="152">
        <v>27612</v>
      </c>
    </row>
    <row r="54" spans="1:8" ht="15">
      <c r="A54" s="235" t="s">
        <v>166</v>
      </c>
      <c r="B54" s="249" t="s">
        <v>167</v>
      </c>
      <c r="C54" s="151">
        <v>5187</v>
      </c>
      <c r="D54" s="151">
        <v>5640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3311911</v>
      </c>
      <c r="D55" s="155">
        <f>D19+D20+D21+D27+D32+D45+D51+D53+D54</f>
        <v>3639020</v>
      </c>
      <c r="E55" s="237" t="s">
        <v>172</v>
      </c>
      <c r="F55" s="261" t="s">
        <v>173</v>
      </c>
      <c r="G55" s="154">
        <f>G49+G51+G52+G53+G54</f>
        <v>2461264</v>
      </c>
      <c r="H55" s="154">
        <f>H49+H51+H52+H53+H54</f>
        <v>2499264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11272</v>
      </c>
      <c r="D58" s="151">
        <v>13483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2167</v>
      </c>
      <c r="D59" s="151">
        <v>1575</v>
      </c>
      <c r="E59" s="251" t="s">
        <v>181</v>
      </c>
      <c r="F59" s="242" t="s">
        <v>182</v>
      </c>
      <c r="G59" s="152">
        <v>60201</v>
      </c>
      <c r="H59" s="152">
        <v>55846</v>
      </c>
      <c r="M59" s="157"/>
    </row>
    <row r="60" spans="1:8" ht="15">
      <c r="A60" s="235" t="s">
        <v>183</v>
      </c>
      <c r="B60" s="241" t="s">
        <v>184</v>
      </c>
      <c r="C60" s="151">
        <v>18385</v>
      </c>
      <c r="D60" s="151">
        <v>29005</v>
      </c>
      <c r="E60" s="237" t="s">
        <v>185</v>
      </c>
      <c r="F60" s="242" t="s">
        <v>186</v>
      </c>
      <c r="G60" s="152">
        <f>14733+315</f>
        <v>15048</v>
      </c>
      <c r="H60" s="152">
        <f>14257+8169</f>
        <v>22426</v>
      </c>
    </row>
    <row r="61" spans="1:18" ht="15">
      <c r="A61" s="235" t="s">
        <v>187</v>
      </c>
      <c r="B61" s="244" t="s">
        <v>188</v>
      </c>
      <c r="C61" s="151">
        <v>1925</v>
      </c>
      <c r="D61" s="151">
        <v>1204</v>
      </c>
      <c r="E61" s="243" t="s">
        <v>189</v>
      </c>
      <c r="F61" s="272" t="s">
        <v>190</v>
      </c>
      <c r="G61" s="154">
        <f>SUM(G62:G68)</f>
        <v>202628</v>
      </c>
      <c r="H61" s="154">
        <f>SUM(H62:H68)</f>
        <v>225629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13323</v>
      </c>
      <c r="H62" s="152">
        <v>16217</v>
      </c>
    </row>
    <row r="63" spans="1:13" ht="15">
      <c r="A63" s="235" t="s">
        <v>195</v>
      </c>
      <c r="B63" s="241" t="s">
        <v>196</v>
      </c>
      <c r="C63" s="151">
        <v>6218</v>
      </c>
      <c r="D63" s="151">
        <v>5917</v>
      </c>
      <c r="E63" s="237" t="s">
        <v>197</v>
      </c>
      <c r="F63" s="242" t="s">
        <v>198</v>
      </c>
      <c r="G63" s="152">
        <v>33525</v>
      </c>
      <c r="H63" s="152">
        <v>40629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39967</v>
      </c>
      <c r="D64" s="155">
        <f>SUM(D58:D63)</f>
        <v>51184</v>
      </c>
      <c r="E64" s="237" t="s">
        <v>200</v>
      </c>
      <c r="F64" s="242" t="s">
        <v>201</v>
      </c>
      <c r="G64" s="152">
        <v>135651</v>
      </c>
      <c r="H64" s="152">
        <v>137813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4800</v>
      </c>
      <c r="H65" s="152">
        <v>11707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9868</v>
      </c>
      <c r="H66" s="152">
        <v>9744</v>
      </c>
    </row>
    <row r="67" spans="1:8" ht="15">
      <c r="A67" s="235" t="s">
        <v>207</v>
      </c>
      <c r="B67" s="241" t="s">
        <v>208</v>
      </c>
      <c r="C67" s="151">
        <v>202305</v>
      </c>
      <c r="D67" s="151">
        <v>214749</v>
      </c>
      <c r="E67" s="237" t="s">
        <v>209</v>
      </c>
      <c r="F67" s="242" t="s">
        <v>210</v>
      </c>
      <c r="G67" s="152">
        <v>1989</v>
      </c>
      <c r="H67" s="152">
        <v>2533</v>
      </c>
    </row>
    <row r="68" spans="1:8" ht="15">
      <c r="A68" s="235" t="s">
        <v>211</v>
      </c>
      <c r="B68" s="241" t="s">
        <v>212</v>
      </c>
      <c r="C68" s="151">
        <v>116426</v>
      </c>
      <c r="D68" s="151">
        <v>100485</v>
      </c>
      <c r="E68" s="237" t="s">
        <v>213</v>
      </c>
      <c r="F68" s="242" t="s">
        <v>214</v>
      </c>
      <c r="G68" s="152">
        <v>3472</v>
      </c>
      <c r="H68" s="152">
        <v>6986</v>
      </c>
    </row>
    <row r="69" spans="1:8" ht="15">
      <c r="A69" s="235" t="s">
        <v>215</v>
      </c>
      <c r="B69" s="241" t="s">
        <v>216</v>
      </c>
      <c r="C69" s="151">
        <v>19728</v>
      </c>
      <c r="D69" s="151">
        <v>23579</v>
      </c>
      <c r="E69" s="251" t="s">
        <v>78</v>
      </c>
      <c r="F69" s="242" t="s">
        <v>217</v>
      </c>
      <c r="G69" s="152">
        <v>3637096</v>
      </c>
      <c r="H69" s="152">
        <v>3473340</v>
      </c>
    </row>
    <row r="70" spans="1:8" ht="15">
      <c r="A70" s="235" t="s">
        <v>218</v>
      </c>
      <c r="B70" s="241" t="s">
        <v>219</v>
      </c>
      <c r="C70" s="151">
        <v>174045</v>
      </c>
      <c r="D70" s="151">
        <v>139199</v>
      </c>
      <c r="E70" s="237" t="s">
        <v>220</v>
      </c>
      <c r="F70" s="242" t="s">
        <v>221</v>
      </c>
      <c r="G70" s="152">
        <v>31</v>
      </c>
      <c r="H70" s="152">
        <v>31</v>
      </c>
    </row>
    <row r="71" spans="1:18" ht="15">
      <c r="A71" s="235" t="s">
        <v>222</v>
      </c>
      <c r="B71" s="241" t="s">
        <v>223</v>
      </c>
      <c r="C71" s="151">
        <v>61819</v>
      </c>
      <c r="D71" s="151">
        <v>62275</v>
      </c>
      <c r="E71" s="253" t="s">
        <v>46</v>
      </c>
      <c r="F71" s="273" t="s">
        <v>224</v>
      </c>
      <c r="G71" s="161">
        <f>G59+G60+G61+G69+G70</f>
        <v>3915004</v>
      </c>
      <c r="H71" s="161">
        <f>H59+H60+H61+H69+H70</f>
        <v>3777272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3779</v>
      </c>
      <c r="D72" s="151">
        <v>3197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187663</v>
      </c>
      <c r="D74" s="151">
        <v>156284</v>
      </c>
      <c r="E74" s="237" t="s">
        <v>231</v>
      </c>
      <c r="F74" s="280" t="s">
        <v>232</v>
      </c>
      <c r="G74" s="152">
        <v>46756</v>
      </c>
      <c r="H74" s="152">
        <v>42011</v>
      </c>
    </row>
    <row r="75" spans="1:15" ht="15">
      <c r="A75" s="235" t="s">
        <v>76</v>
      </c>
      <c r="B75" s="249" t="s">
        <v>233</v>
      </c>
      <c r="C75" s="155">
        <f>SUM(C67:C74)</f>
        <v>765765</v>
      </c>
      <c r="D75" s="155">
        <f>SUM(D67:D74)</f>
        <v>699768</v>
      </c>
      <c r="E75" s="251" t="s">
        <v>160</v>
      </c>
      <c r="F75" s="245" t="s">
        <v>234</v>
      </c>
      <c r="G75" s="152">
        <v>5180</v>
      </c>
      <c r="H75" s="152">
        <v>3372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1335116</v>
      </c>
      <c r="D78" s="155">
        <f>SUM(D79:D81)</f>
        <v>1235281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462562</v>
      </c>
      <c r="D79" s="151">
        <v>294534</v>
      </c>
      <c r="E79" s="251" t="s">
        <v>242</v>
      </c>
      <c r="F79" s="261" t="s">
        <v>243</v>
      </c>
      <c r="G79" s="162">
        <f>G71+G74+G75+G76</f>
        <v>3966940</v>
      </c>
      <c r="H79" s="162">
        <f>H71+H74+H75+H76</f>
        <v>3822655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820</v>
      </c>
      <c r="D80" s="151">
        <v>491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871734</v>
      </c>
      <c r="D81" s="151">
        <v>940256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181090</v>
      </c>
      <c r="D82" s="151">
        <v>90603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840183</v>
      </c>
      <c r="D83" s="151">
        <v>882910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2356389</v>
      </c>
      <c r="D84" s="155">
        <f>D83+D82+D78</f>
        <v>2208794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144005</v>
      </c>
      <c r="D87" s="151">
        <v>177168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1299308</v>
      </c>
      <c r="D88" s="151">
        <v>995987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12406</v>
      </c>
      <c r="D89" s="151">
        <v>11039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42494</v>
      </c>
      <c r="D90" s="151">
        <v>44919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1498213</v>
      </c>
      <c r="D91" s="155">
        <f>SUM(D87:D90)</f>
        <v>1229113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11239</v>
      </c>
      <c r="D92" s="151">
        <v>11175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4671573</v>
      </c>
      <c r="D93" s="155">
        <f>D64+D75+D84+D91+D92</f>
        <v>4200034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7983484</v>
      </c>
      <c r="D94" s="164">
        <f>D93+D55</f>
        <v>7839054</v>
      </c>
      <c r="E94" s="449" t="s">
        <v>270</v>
      </c>
      <c r="F94" s="289" t="s">
        <v>271</v>
      </c>
      <c r="G94" s="165">
        <f>G36+G39+G55+G79</f>
        <v>7983484</v>
      </c>
      <c r="H94" s="165">
        <f>H36+H39+H55+H79</f>
        <v>7839054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3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SheetLayoutView="100" zoomScalePageLayoutView="0" workbookViewId="0" topLeftCell="B22">
      <selection activeCell="G9" sqref="G9:H1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8" t="s">
        <v>863</v>
      </c>
      <c r="C2" s="588"/>
      <c r="D2" s="588"/>
      <c r="E2" s="588"/>
      <c r="F2" s="590" t="s">
        <v>2</v>
      </c>
      <c r="G2" s="590"/>
      <c r="H2" s="524">
        <v>627519</v>
      </c>
    </row>
    <row r="3" spans="1:8" ht="15">
      <c r="A3" s="465" t="s">
        <v>275</v>
      </c>
      <c r="B3" s="588" t="str">
        <f>'[1]справка №1-БАЛАНС'!E4</f>
        <v>консолидиран</v>
      </c>
      <c r="C3" s="588"/>
      <c r="D3" s="588"/>
      <c r="E3" s="588"/>
      <c r="F3" s="544" t="s">
        <v>4</v>
      </c>
      <c r="G3" s="525"/>
      <c r="H3" s="525" t="str">
        <f>'[1]справка №1-БАЛАНС'!H4</f>
        <v> </v>
      </c>
    </row>
    <row r="4" spans="1:8" ht="17.25" customHeight="1">
      <c r="A4" s="465" t="s">
        <v>5</v>
      </c>
      <c r="B4" s="589">
        <v>42185</v>
      </c>
      <c r="C4" s="589"/>
      <c r="D4" s="589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44737</v>
      </c>
      <c r="D9" s="46">
        <v>52662</v>
      </c>
      <c r="E9" s="298" t="s">
        <v>285</v>
      </c>
      <c r="F9" s="547" t="s">
        <v>286</v>
      </c>
      <c r="G9" s="548">
        <v>25823</v>
      </c>
      <c r="H9" s="548">
        <v>31798</v>
      </c>
    </row>
    <row r="10" spans="1:8" ht="12">
      <c r="A10" s="298" t="s">
        <v>287</v>
      </c>
      <c r="B10" s="299" t="s">
        <v>288</v>
      </c>
      <c r="C10" s="46">
        <v>122255</v>
      </c>
      <c r="D10" s="46">
        <v>134530</v>
      </c>
      <c r="E10" s="298" t="s">
        <v>289</v>
      </c>
      <c r="F10" s="547" t="s">
        <v>290</v>
      </c>
      <c r="G10" s="548">
        <v>39173</v>
      </c>
      <c r="H10" s="548">
        <v>34696</v>
      </c>
    </row>
    <row r="11" spans="1:8" ht="12">
      <c r="A11" s="298" t="s">
        <v>291</v>
      </c>
      <c r="B11" s="299" t="s">
        <v>292</v>
      </c>
      <c r="C11" s="46">
        <v>20013</v>
      </c>
      <c r="D11" s="46">
        <v>20105</v>
      </c>
      <c r="E11" s="300" t="s">
        <v>293</v>
      </c>
      <c r="F11" s="547" t="s">
        <v>294</v>
      </c>
      <c r="G11" s="548">
        <v>145577</v>
      </c>
      <c r="H11" s="548">
        <v>157200</v>
      </c>
    </row>
    <row r="12" spans="1:8" ht="12">
      <c r="A12" s="298" t="s">
        <v>295</v>
      </c>
      <c r="B12" s="299" t="s">
        <v>296</v>
      </c>
      <c r="C12" s="46">
        <v>47476</v>
      </c>
      <c r="D12" s="46">
        <v>45759</v>
      </c>
      <c r="E12" s="300" t="s">
        <v>78</v>
      </c>
      <c r="F12" s="547" t="s">
        <v>297</v>
      </c>
      <c r="G12" s="548">
        <v>29718</v>
      </c>
      <c r="H12" s="548">
        <v>55753</v>
      </c>
    </row>
    <row r="13" spans="1:18" ht="12">
      <c r="A13" s="298" t="s">
        <v>298</v>
      </c>
      <c r="B13" s="299" t="s">
        <v>299</v>
      </c>
      <c r="C13" s="46">
        <v>8063</v>
      </c>
      <c r="D13" s="46">
        <v>8514</v>
      </c>
      <c r="E13" s="301" t="s">
        <v>51</v>
      </c>
      <c r="F13" s="549" t="s">
        <v>300</v>
      </c>
      <c r="G13" s="546">
        <f>SUM(G9:G12)</f>
        <v>240291</v>
      </c>
      <c r="H13" s="546">
        <f>SUM(H9:H12)</f>
        <v>279447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39386</v>
      </c>
      <c r="D14" s="46">
        <v>32577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-1285</v>
      </c>
      <c r="D15" s="47">
        <v>-411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8">
        <v>47474</v>
      </c>
      <c r="D16" s="48">
        <v>58105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328119</v>
      </c>
      <c r="D19" s="49">
        <f>SUM(D9:D15)+D16</f>
        <v>351841</v>
      </c>
      <c r="E19" s="304" t="s">
        <v>317</v>
      </c>
      <c r="F19" s="550" t="s">
        <v>318</v>
      </c>
      <c r="G19" s="548">
        <v>105745</v>
      </c>
      <c r="H19" s="548">
        <v>121690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>
        <v>3123</v>
      </c>
      <c r="H20" s="548">
        <v>677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250805</v>
      </c>
      <c r="H21" s="548">
        <v>244919</v>
      </c>
    </row>
    <row r="22" spans="1:8" ht="24">
      <c r="A22" s="304" t="s">
        <v>324</v>
      </c>
      <c r="B22" s="305" t="s">
        <v>325</v>
      </c>
      <c r="C22" s="46">
        <v>33269</v>
      </c>
      <c r="D22" s="46">
        <v>64018</v>
      </c>
      <c r="E22" s="304" t="s">
        <v>326</v>
      </c>
      <c r="F22" s="550" t="s">
        <v>327</v>
      </c>
      <c r="G22" s="548">
        <v>5017125</v>
      </c>
      <c r="H22" s="548">
        <v>4832299</v>
      </c>
    </row>
    <row r="23" spans="1:8" ht="24">
      <c r="A23" s="298" t="s">
        <v>328</v>
      </c>
      <c r="B23" s="305" t="s">
        <v>329</v>
      </c>
      <c r="C23" s="46">
        <v>219754</v>
      </c>
      <c r="D23" s="46">
        <v>235612</v>
      </c>
      <c r="E23" s="298" t="s">
        <v>330</v>
      </c>
      <c r="F23" s="550" t="s">
        <v>331</v>
      </c>
      <c r="G23" s="548">
        <v>560340</v>
      </c>
      <c r="H23" s="548">
        <v>450826</v>
      </c>
    </row>
    <row r="24" spans="1:18" ht="12">
      <c r="A24" s="298" t="s">
        <v>332</v>
      </c>
      <c r="B24" s="305" t="s">
        <v>333</v>
      </c>
      <c r="C24" s="46">
        <v>5016005</v>
      </c>
      <c r="D24" s="46">
        <v>4818529</v>
      </c>
      <c r="E24" s="301" t="s">
        <v>103</v>
      </c>
      <c r="F24" s="552" t="s">
        <v>334</v>
      </c>
      <c r="G24" s="546">
        <f>SUM(G19:G23)</f>
        <v>5937138</v>
      </c>
      <c r="H24" s="546">
        <f>SUM(H19:H23)</f>
        <v>5650411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529126</v>
      </c>
      <c r="D25" s="46">
        <v>419018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5798154</v>
      </c>
      <c r="D26" s="49">
        <f>SUM(D22:D25)</f>
        <v>5537177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6126273</v>
      </c>
      <c r="D28" s="50">
        <f>D26+D19</f>
        <v>5889018</v>
      </c>
      <c r="E28" s="127" t="s">
        <v>339</v>
      </c>
      <c r="F28" s="552" t="s">
        <v>340</v>
      </c>
      <c r="G28" s="546">
        <f>G13+G15+G24</f>
        <v>6177429</v>
      </c>
      <c r="H28" s="546">
        <f>H13+H15+H24</f>
        <v>5929858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51156</v>
      </c>
      <c r="D30" s="50">
        <f>IF((H28-D28)&gt;0,H28-D28,0)</f>
        <v>40840</v>
      </c>
      <c r="E30" s="127" t="s">
        <v>343</v>
      </c>
      <c r="F30" s="552" t="s">
        <v>344</v>
      </c>
      <c r="G30" s="53">
        <f>IF((C28-G28)&gt;0,C28-G28,0)</f>
        <v>0</v>
      </c>
      <c r="H30" s="53"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877</v>
      </c>
      <c r="B31" s="306" t="s">
        <v>345</v>
      </c>
      <c r="C31" s="46"/>
      <c r="D31" s="46"/>
      <c r="E31" s="296" t="s">
        <v>876</v>
      </c>
      <c r="F31" s="550" t="s">
        <v>346</v>
      </c>
      <c r="G31" s="548">
        <v>981</v>
      </c>
      <c r="H31" s="548">
        <v>12237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6126273</v>
      </c>
      <c r="D33" s="49">
        <f>D28+D31+D32</f>
        <v>5889018</v>
      </c>
      <c r="E33" s="127" t="s">
        <v>353</v>
      </c>
      <c r="F33" s="552" t="s">
        <v>354</v>
      </c>
      <c r="G33" s="53">
        <f>G32+G31+G28</f>
        <v>6178410</v>
      </c>
      <c r="H33" s="53">
        <f>H32+H31+H28</f>
        <v>5942095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52137</v>
      </c>
      <c r="D34" s="50">
        <f>IF((H33-D33)&gt;0,H33-D33,0)</f>
        <v>53077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4955</v>
      </c>
      <c r="D35" s="49">
        <f>D36+D37+D38</f>
        <v>250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2223</v>
      </c>
      <c r="D36" s="46">
        <v>2542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2732</v>
      </c>
      <c r="D37" s="430">
        <v>-2292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47182</v>
      </c>
      <c r="D39" s="458">
        <f>+IF((H33-D33-D35)&gt;0,H33-D33-D35,0)</f>
        <v>52827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5005</v>
      </c>
      <c r="D40" s="51">
        <v>3318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42177</v>
      </c>
      <c r="D41" s="52">
        <f>IF(H39=0,IF(D39-D40&gt;0,D39-D40+H40,0),IF(H39-H40&lt;0,H40-H39+D39,0))</f>
        <v>49509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6178410</v>
      </c>
      <c r="D42" s="53">
        <f>D33+D35+D39</f>
        <v>5942095</v>
      </c>
      <c r="E42" s="128" t="s">
        <v>380</v>
      </c>
      <c r="F42" s="129" t="s">
        <v>381</v>
      </c>
      <c r="G42" s="53">
        <f>G39+G33</f>
        <v>6178410</v>
      </c>
      <c r="H42" s="53">
        <f>H39+H33</f>
        <v>5942095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4">
        <v>42611</v>
      </c>
      <c r="C48" s="427" t="s">
        <v>383</v>
      </c>
      <c r="D48" s="586"/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7"/>
      <c r="E50" s="587"/>
      <c r="F50" s="587"/>
      <c r="G50" s="587"/>
      <c r="H50" s="587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C9:D14 G9:H12 C31:D32 C16:D18 G19:H23 C40:D40 G15:H16 C36:D36 C22:D25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view="pageBreakPreview" zoomScaleNormal="75" zoomScaleSheetLayoutView="100" zoomScalePageLayoutView="0" workbookViewId="0" topLeftCell="B25">
      <selection activeCell="C34" sqref="C34: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"Химимпорт"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42551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20590177</v>
      </c>
      <c r="D10" s="54">
        <v>20651031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-20442264</v>
      </c>
      <c r="D11" s="54">
        <v>-20358950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19016</v>
      </c>
      <c r="D12" s="54">
        <v>-38874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-61387</v>
      </c>
      <c r="D13" s="54">
        <v>-58056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-7407</v>
      </c>
      <c r="D14" s="54">
        <v>-5202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-1308</v>
      </c>
      <c r="D15" s="54">
        <v>-4166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23206</v>
      </c>
      <c r="D16" s="54">
        <v>10015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-6765</v>
      </c>
      <c r="D17" s="54">
        <v>-9526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-414</v>
      </c>
      <c r="D18" s="54">
        <v>2276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-8481</v>
      </c>
      <c r="D19" s="54">
        <v>5096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104373</v>
      </c>
      <c r="D20" s="55">
        <f>SUM(D10:D19)</f>
        <v>193644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-43445</v>
      </c>
      <c r="D22" s="54">
        <v>-31415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7981</v>
      </c>
      <c r="D23" s="54">
        <v>1815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32070</v>
      </c>
      <c r="D24" s="54">
        <v>8893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-39016</v>
      </c>
      <c r="D25" s="54">
        <v>-5203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36428</v>
      </c>
      <c r="D26" s="54">
        <v>25945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-99243</v>
      </c>
      <c r="D27" s="54">
        <v>-946808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302037</v>
      </c>
      <c r="D28" s="54">
        <v>374717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4010</v>
      </c>
      <c r="D29" s="54">
        <v>667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180</v>
      </c>
      <c r="D31" s="54">
        <v>-12368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201002</v>
      </c>
      <c r="D32" s="55">
        <f>SUM(D22:D31)</f>
        <v>-583757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-69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32481</v>
      </c>
      <c r="D36" s="54">
        <v>113925</v>
      </c>
      <c r="E36" s="130"/>
      <c r="F36" s="130"/>
    </row>
    <row r="37" spans="1:6" ht="12">
      <c r="A37" s="332" t="s">
        <v>439</v>
      </c>
      <c r="B37" s="333" t="s">
        <v>440</v>
      </c>
      <c r="C37" s="54">
        <v>-43430</v>
      </c>
      <c r="D37" s="54">
        <v>-59059</v>
      </c>
      <c r="E37" s="130"/>
      <c r="F37" s="130"/>
    </row>
    <row r="38" spans="1:6" ht="12">
      <c r="A38" s="332" t="s">
        <v>441</v>
      </c>
      <c r="B38" s="333" t="s">
        <v>442</v>
      </c>
      <c r="C38" s="54">
        <v>-732</v>
      </c>
      <c r="D38" s="54">
        <v>-2836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-10953</v>
      </c>
      <c r="D39" s="54">
        <v>-2537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-13572</v>
      </c>
      <c r="D41" s="54">
        <v>-26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-36275</v>
      </c>
      <c r="D42" s="55">
        <f>SUM(D34:D41)</f>
        <v>49467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269100</v>
      </c>
      <c r="D43" s="55">
        <f>D42+D32+D20</f>
        <v>-340646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1229113</v>
      </c>
      <c r="D44" s="132">
        <v>1480670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1498213</v>
      </c>
      <c r="D45" s="55">
        <f>D44+D43</f>
        <v>1140024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1485807</v>
      </c>
      <c r="D46" s="56">
        <v>1132419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+'справка №1-БАЛАНС'!C89</f>
        <v>12406</v>
      </c>
      <c r="D47" s="56">
        <v>7605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 t="s">
        <v>883</v>
      </c>
      <c r="C49" s="319"/>
      <c r="D49" s="437"/>
      <c r="E49" s="343"/>
      <c r="G49" s="133"/>
      <c r="H49" s="133"/>
    </row>
    <row r="50" spans="1:8" ht="12">
      <c r="A50" s="575"/>
      <c r="B50" s="436" t="s">
        <v>383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SheetLayoutView="100" zoomScalePageLayoutView="0" workbookViewId="0" topLeftCell="B7">
      <selection activeCell="M28" sqref="M2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3" t="s">
        <v>461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5" t="str">
        <f>'справка №1-БАЛАНС'!E3</f>
        <v>"Химимпорт"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9">
        <f>'справка №1-БАЛАНС'!E5</f>
        <v>42551</v>
      </c>
      <c r="C5" s="599"/>
      <c r="D5" s="599"/>
      <c r="E5" s="599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225092</v>
      </c>
      <c r="D11" s="58">
        <f>'справка №1-БАЛАНС'!H19</f>
        <v>218469</v>
      </c>
      <c r="E11" s="58">
        <f>'справка №1-БАЛАНС'!H20</f>
        <v>2687</v>
      </c>
      <c r="F11" s="58">
        <f>'справка №1-БАЛАНС'!H22</f>
        <v>65921</v>
      </c>
      <c r="G11" s="58">
        <f>'справка №1-БАЛАНС'!H23</f>
        <v>0</v>
      </c>
      <c r="H11" s="60">
        <v>2973</v>
      </c>
      <c r="I11" s="58">
        <f>'справка №1-БАЛАНС'!H28+'справка №1-БАЛАНС'!H31</f>
        <v>762910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1278052</v>
      </c>
      <c r="M11" s="58">
        <f>'справка №1-БАЛАНС'!H39</f>
        <v>239083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225092</v>
      </c>
      <c r="D15" s="61">
        <f aca="true" t="shared" si="2" ref="D15:M15">D11+D12</f>
        <v>218469</v>
      </c>
      <c r="E15" s="61">
        <f t="shared" si="2"/>
        <v>2687</v>
      </c>
      <c r="F15" s="61">
        <f t="shared" si="2"/>
        <v>65921</v>
      </c>
      <c r="G15" s="61">
        <f t="shared" si="2"/>
        <v>0</v>
      </c>
      <c r="H15" s="61">
        <f t="shared" si="2"/>
        <v>2973</v>
      </c>
      <c r="I15" s="61">
        <f t="shared" si="2"/>
        <v>762910</v>
      </c>
      <c r="J15" s="61">
        <f t="shared" si="2"/>
        <v>0</v>
      </c>
      <c r="K15" s="61">
        <f t="shared" si="2"/>
        <v>0</v>
      </c>
      <c r="L15" s="344">
        <f t="shared" si="1"/>
        <v>1278052</v>
      </c>
      <c r="M15" s="61">
        <f t="shared" si="2"/>
        <v>239083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42177</v>
      </c>
      <c r="J16" s="345">
        <f>+'справка №1-БАЛАНС'!G32</f>
        <v>0</v>
      </c>
      <c r="K16" s="60"/>
      <c r="L16" s="344">
        <f t="shared" si="1"/>
        <v>42177</v>
      </c>
      <c r="M16" s="60">
        <v>5005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5537</v>
      </c>
      <c r="G17" s="62">
        <f t="shared" si="3"/>
        <v>0</v>
      </c>
      <c r="H17" s="62">
        <f t="shared" si="3"/>
        <v>0</v>
      </c>
      <c r="I17" s="62">
        <f t="shared" si="3"/>
        <v>-5537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5537</v>
      </c>
      <c r="G19" s="60"/>
      <c r="H19" s="60"/>
      <c r="I19" s="60">
        <v>-5537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3322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3322</v>
      </c>
      <c r="M24" s="59">
        <f t="shared" si="5"/>
        <v>1195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3322</v>
      </c>
      <c r="F25" s="185"/>
      <c r="G25" s="185"/>
      <c r="H25" s="185"/>
      <c r="I25" s="185"/>
      <c r="J25" s="185"/>
      <c r="K25" s="185"/>
      <c r="L25" s="344">
        <f t="shared" si="1"/>
        <v>3322</v>
      </c>
      <c r="M25" s="185">
        <v>1195</v>
      </c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0</v>
      </c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-105</v>
      </c>
      <c r="D28" s="60">
        <v>305</v>
      </c>
      <c r="E28" s="60"/>
      <c r="F28" s="60">
        <v>202</v>
      </c>
      <c r="G28" s="60"/>
      <c r="H28" s="60"/>
      <c r="I28" s="60">
        <v>-10661</v>
      </c>
      <c r="J28" s="60"/>
      <c r="K28" s="60"/>
      <c r="L28" s="344">
        <f t="shared" si="1"/>
        <v>-10259</v>
      </c>
      <c r="M28" s="60">
        <v>-3295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224987</v>
      </c>
      <c r="D29" s="59">
        <f aca="true" t="shared" si="6" ref="D29:M29">D17+D20+D21+D24+D28+D27+D15+D16</f>
        <v>218774</v>
      </c>
      <c r="E29" s="59">
        <f t="shared" si="6"/>
        <v>6009</v>
      </c>
      <c r="F29" s="59">
        <f t="shared" si="6"/>
        <v>71660</v>
      </c>
      <c r="G29" s="59">
        <f t="shared" si="6"/>
        <v>0</v>
      </c>
      <c r="H29" s="59">
        <f t="shared" si="6"/>
        <v>2973</v>
      </c>
      <c r="I29" s="59">
        <f t="shared" si="6"/>
        <v>788889</v>
      </c>
      <c r="J29" s="59">
        <f t="shared" si="6"/>
        <v>0</v>
      </c>
      <c r="K29" s="59">
        <f t="shared" si="6"/>
        <v>0</v>
      </c>
      <c r="L29" s="344">
        <f t="shared" si="1"/>
        <v>1313292</v>
      </c>
      <c r="M29" s="59">
        <f t="shared" si="6"/>
        <v>241988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224987</v>
      </c>
      <c r="D32" s="59">
        <f t="shared" si="7"/>
        <v>218774</v>
      </c>
      <c r="E32" s="59">
        <f t="shared" si="7"/>
        <v>6009</v>
      </c>
      <c r="F32" s="59">
        <f t="shared" si="7"/>
        <v>71660</v>
      </c>
      <c r="G32" s="59">
        <f t="shared" si="7"/>
        <v>0</v>
      </c>
      <c r="H32" s="59">
        <f t="shared" si="7"/>
        <v>2973</v>
      </c>
      <c r="I32" s="59">
        <f t="shared" si="7"/>
        <v>788889</v>
      </c>
      <c r="J32" s="59">
        <f t="shared" si="7"/>
        <v>0</v>
      </c>
      <c r="K32" s="59">
        <f t="shared" si="7"/>
        <v>0</v>
      </c>
      <c r="L32" s="344">
        <f t="shared" si="1"/>
        <v>1313292</v>
      </c>
      <c r="M32" s="59">
        <f>M29+M30+M31</f>
        <v>241988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884</v>
      </c>
      <c r="B38" s="19"/>
      <c r="C38" s="15"/>
      <c r="D38" s="594" t="s">
        <v>523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tabSelected="1" zoomScaleSheetLayoutView="100" zoomScalePageLayoutView="0" workbookViewId="0" topLeftCell="A6">
      <selection activeCell="L30" sqref="L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385</v>
      </c>
      <c r="B2" s="601"/>
      <c r="C2" s="602" t="str">
        <f>'справка №1-БАЛАНС'!E3</f>
        <v>"Химимпорт"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600" t="s">
        <v>5</v>
      </c>
      <c r="B3" s="601"/>
      <c r="C3" s="603">
        <f>'справка №1-БАЛАНС'!E5</f>
        <v>42551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05" t="s">
        <v>465</v>
      </c>
      <c r="B5" s="606"/>
      <c r="C5" s="613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7"/>
      <c r="B6" s="608"/>
      <c r="C6" s="614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60260</v>
      </c>
      <c r="E9" s="189">
        <v>13</v>
      </c>
      <c r="F9" s="189"/>
      <c r="G9" s="74">
        <f>D9+E9-F9</f>
        <v>60273</v>
      </c>
      <c r="H9" s="65"/>
      <c r="I9" s="65"/>
      <c r="J9" s="74">
        <f>G9+H9-I9</f>
        <v>60273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60273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94418</v>
      </c>
      <c r="E10" s="189">
        <v>5569</v>
      </c>
      <c r="F10" s="189">
        <v>4</v>
      </c>
      <c r="G10" s="74">
        <f aca="true" t="shared" si="2" ref="G10:G39">D10+E10-F10</f>
        <v>99983</v>
      </c>
      <c r="H10" s="65"/>
      <c r="I10" s="65"/>
      <c r="J10" s="74">
        <f aca="true" t="shared" si="3" ref="J10:J39">G10+H10-I10</f>
        <v>99983</v>
      </c>
      <c r="K10" s="65">
        <v>19647</v>
      </c>
      <c r="L10" s="65">
        <v>3411</v>
      </c>
      <c r="M10" s="65">
        <v>239</v>
      </c>
      <c r="N10" s="74">
        <f aca="true" t="shared" si="4" ref="N10:N39">K10+L10-M10</f>
        <v>22819</v>
      </c>
      <c r="O10" s="65"/>
      <c r="P10" s="65"/>
      <c r="Q10" s="74">
        <f t="shared" si="0"/>
        <v>22819</v>
      </c>
      <c r="R10" s="74">
        <f t="shared" si="1"/>
        <v>77164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111546</v>
      </c>
      <c r="E11" s="189">
        <v>2996</v>
      </c>
      <c r="F11" s="189">
        <v>2252</v>
      </c>
      <c r="G11" s="74">
        <f t="shared" si="2"/>
        <v>112290</v>
      </c>
      <c r="H11" s="65"/>
      <c r="I11" s="65"/>
      <c r="J11" s="74">
        <f t="shared" si="3"/>
        <v>112290</v>
      </c>
      <c r="K11" s="65">
        <v>89611</v>
      </c>
      <c r="L11" s="65">
        <v>4250</v>
      </c>
      <c r="M11" s="65">
        <v>1680</v>
      </c>
      <c r="N11" s="74">
        <f t="shared" si="4"/>
        <v>92181</v>
      </c>
      <c r="O11" s="65"/>
      <c r="P11" s="65"/>
      <c r="Q11" s="74">
        <f t="shared" si="0"/>
        <v>92181</v>
      </c>
      <c r="R11" s="74">
        <f t="shared" si="1"/>
        <v>20109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127534</v>
      </c>
      <c r="E12" s="189">
        <v>577</v>
      </c>
      <c r="F12" s="189">
        <v>7</v>
      </c>
      <c r="G12" s="74">
        <f t="shared" si="2"/>
        <v>128104</v>
      </c>
      <c r="H12" s="65"/>
      <c r="I12" s="65"/>
      <c r="J12" s="74">
        <f t="shared" si="3"/>
        <v>128104</v>
      </c>
      <c r="K12" s="65">
        <v>24686</v>
      </c>
      <c r="L12" s="65">
        <v>1924</v>
      </c>
      <c r="M12" s="65">
        <v>4</v>
      </c>
      <c r="N12" s="74">
        <f t="shared" si="4"/>
        <v>26606</v>
      </c>
      <c r="O12" s="65"/>
      <c r="P12" s="65"/>
      <c r="Q12" s="74">
        <f t="shared" si="0"/>
        <v>26606</v>
      </c>
      <c r="R12" s="74">
        <f t="shared" si="1"/>
        <v>101498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134148</v>
      </c>
      <c r="E13" s="189">
        <v>1795</v>
      </c>
      <c r="F13" s="189">
        <v>2380</v>
      </c>
      <c r="G13" s="74">
        <f t="shared" si="2"/>
        <v>133563</v>
      </c>
      <c r="H13" s="65"/>
      <c r="I13" s="65"/>
      <c r="J13" s="74">
        <f t="shared" si="3"/>
        <v>133563</v>
      </c>
      <c r="K13" s="65">
        <v>52138</v>
      </c>
      <c r="L13" s="65">
        <v>3304</v>
      </c>
      <c r="M13" s="65">
        <v>1916</v>
      </c>
      <c r="N13" s="74">
        <f t="shared" si="4"/>
        <v>53526</v>
      </c>
      <c r="O13" s="65"/>
      <c r="P13" s="65"/>
      <c r="Q13" s="74">
        <f t="shared" si="0"/>
        <v>53526</v>
      </c>
      <c r="R13" s="74">
        <f t="shared" si="1"/>
        <v>80037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858</v>
      </c>
      <c r="B15" s="374" t="s">
        <v>859</v>
      </c>
      <c r="C15" s="454" t="s">
        <v>860</v>
      </c>
      <c r="D15" s="455">
        <v>84318</v>
      </c>
      <c r="E15" s="455">
        <v>26158</v>
      </c>
      <c r="F15" s="455">
        <f>5325+4403</f>
        <v>9728</v>
      </c>
      <c r="G15" s="74">
        <f t="shared" si="2"/>
        <v>100748</v>
      </c>
      <c r="H15" s="456"/>
      <c r="I15" s="456"/>
      <c r="J15" s="74">
        <f t="shared" si="3"/>
        <v>100748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100748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115217</v>
      </c>
      <c r="E16" s="189">
        <f>1379+4609</f>
        <v>5988</v>
      </c>
      <c r="F16" s="189">
        <v>16</v>
      </c>
      <c r="G16" s="74">
        <f t="shared" si="2"/>
        <v>121189</v>
      </c>
      <c r="H16" s="65"/>
      <c r="I16" s="65"/>
      <c r="J16" s="74">
        <f t="shared" si="3"/>
        <v>121189</v>
      </c>
      <c r="K16" s="65">
        <v>72912</v>
      </c>
      <c r="L16" s="65">
        <f>885+1353</f>
        <v>2238</v>
      </c>
      <c r="M16" s="65">
        <v>16</v>
      </c>
      <c r="N16" s="74">
        <f t="shared" si="4"/>
        <v>75134</v>
      </c>
      <c r="O16" s="65"/>
      <c r="P16" s="65"/>
      <c r="Q16" s="74">
        <f aca="true" t="shared" si="5" ref="Q16:Q25">N16+O16-P16</f>
        <v>75134</v>
      </c>
      <c r="R16" s="74">
        <f aca="true" t="shared" si="6" ref="R16:R25">J16-Q16</f>
        <v>46055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727441</v>
      </c>
      <c r="E17" s="194">
        <f>SUM(E9:E16)</f>
        <v>43096</v>
      </c>
      <c r="F17" s="194">
        <f>SUM(F9:F16)</f>
        <v>14387</v>
      </c>
      <c r="G17" s="74">
        <f t="shared" si="2"/>
        <v>756150</v>
      </c>
      <c r="H17" s="75">
        <f>SUM(H9:H16)</f>
        <v>0</v>
      </c>
      <c r="I17" s="75">
        <f>SUM(I9:I16)</f>
        <v>0</v>
      </c>
      <c r="J17" s="74">
        <f t="shared" si="3"/>
        <v>756150</v>
      </c>
      <c r="K17" s="75">
        <f>SUM(K9:K16)</f>
        <v>258994</v>
      </c>
      <c r="L17" s="75">
        <f>SUM(L9:L16)</f>
        <v>15127</v>
      </c>
      <c r="M17" s="75">
        <f>SUM(M9:M16)</f>
        <v>3855</v>
      </c>
      <c r="N17" s="74">
        <f t="shared" si="4"/>
        <v>270266</v>
      </c>
      <c r="O17" s="75">
        <f>SUM(O9:O16)</f>
        <v>0</v>
      </c>
      <c r="P17" s="75">
        <f>SUM(P9:P16)</f>
        <v>0</v>
      </c>
      <c r="Q17" s="74">
        <f t="shared" si="5"/>
        <v>270266</v>
      </c>
      <c r="R17" s="74">
        <f t="shared" si="6"/>
        <v>485884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f>+'справка №1-БАЛАНС'!D20</f>
        <v>302421</v>
      </c>
      <c r="E18" s="187">
        <v>22628</v>
      </c>
      <c r="F18" s="187">
        <v>6355</v>
      </c>
      <c r="G18" s="74">
        <f t="shared" si="2"/>
        <v>318694</v>
      </c>
      <c r="H18" s="63">
        <v>1157</v>
      </c>
      <c r="I18" s="63"/>
      <c r="J18" s="74">
        <f t="shared" si="3"/>
        <v>319851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319851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87198</v>
      </c>
      <c r="E21" s="189">
        <f>26+1230</f>
        <v>1256</v>
      </c>
      <c r="F21" s="189">
        <v>9270</v>
      </c>
      <c r="G21" s="74">
        <f t="shared" si="2"/>
        <v>79184</v>
      </c>
      <c r="H21" s="65"/>
      <c r="I21" s="65"/>
      <c r="J21" s="74">
        <f t="shared" si="3"/>
        <v>79184</v>
      </c>
      <c r="K21" s="65">
        <v>44999</v>
      </c>
      <c r="L21" s="65">
        <f>1592+196</f>
        <v>1788</v>
      </c>
      <c r="M21" s="65"/>
      <c r="N21" s="74">
        <f t="shared" si="4"/>
        <v>46787</v>
      </c>
      <c r="O21" s="65"/>
      <c r="P21" s="65"/>
      <c r="Q21" s="74">
        <f t="shared" si="5"/>
        <v>46787</v>
      </c>
      <c r="R21" s="74">
        <f t="shared" si="6"/>
        <v>32397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9448</v>
      </c>
      <c r="E22" s="189">
        <v>302</v>
      </c>
      <c r="F22" s="189">
        <v>0</v>
      </c>
      <c r="G22" s="74">
        <f t="shared" si="2"/>
        <v>9750</v>
      </c>
      <c r="H22" s="65"/>
      <c r="I22" s="65"/>
      <c r="J22" s="74">
        <f t="shared" si="3"/>
        <v>9750</v>
      </c>
      <c r="K22" s="65">
        <v>8201</v>
      </c>
      <c r="L22" s="65">
        <v>484</v>
      </c>
      <c r="M22" s="65"/>
      <c r="N22" s="74">
        <f t="shared" si="4"/>
        <v>8685</v>
      </c>
      <c r="O22" s="65"/>
      <c r="P22" s="65"/>
      <c r="Q22" s="74">
        <f t="shared" si="5"/>
        <v>8685</v>
      </c>
      <c r="R22" s="74">
        <f t="shared" si="6"/>
        <v>1065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19061</v>
      </c>
      <c r="E23" s="189">
        <v>487</v>
      </c>
      <c r="F23" s="189"/>
      <c r="G23" s="74">
        <f t="shared" si="2"/>
        <v>19548</v>
      </c>
      <c r="H23" s="65"/>
      <c r="I23" s="65"/>
      <c r="J23" s="74">
        <f t="shared" si="3"/>
        <v>19548</v>
      </c>
      <c r="K23" s="65">
        <v>52</v>
      </c>
      <c r="L23" s="65"/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19496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140008</v>
      </c>
      <c r="E24" s="189">
        <v>1054</v>
      </c>
      <c r="F24" s="189">
        <v>1526</v>
      </c>
      <c r="G24" s="74">
        <f t="shared" si="2"/>
        <v>139536</v>
      </c>
      <c r="H24" s="65"/>
      <c r="I24" s="65"/>
      <c r="J24" s="74">
        <f t="shared" si="3"/>
        <v>139536</v>
      </c>
      <c r="K24" s="65">
        <v>8641</v>
      </c>
      <c r="L24" s="65">
        <f>207+2235</f>
        <v>2442</v>
      </c>
      <c r="M24" s="65"/>
      <c r="N24" s="74">
        <f t="shared" si="4"/>
        <v>11083</v>
      </c>
      <c r="O24" s="65"/>
      <c r="P24" s="65"/>
      <c r="Q24" s="74">
        <f t="shared" si="5"/>
        <v>11083</v>
      </c>
      <c r="R24" s="74">
        <f t="shared" si="6"/>
        <v>128453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255715</v>
      </c>
      <c r="E25" s="190">
        <f aca="true" t="shared" si="7" ref="E25:P25">SUM(E21:E24)</f>
        <v>3099</v>
      </c>
      <c r="F25" s="190">
        <f t="shared" si="7"/>
        <v>10796</v>
      </c>
      <c r="G25" s="67">
        <f t="shared" si="2"/>
        <v>248018</v>
      </c>
      <c r="H25" s="66">
        <f t="shared" si="7"/>
        <v>0</v>
      </c>
      <c r="I25" s="66">
        <f t="shared" si="7"/>
        <v>0</v>
      </c>
      <c r="J25" s="67">
        <f t="shared" si="3"/>
        <v>248018</v>
      </c>
      <c r="K25" s="66">
        <f t="shared" si="7"/>
        <v>61893</v>
      </c>
      <c r="L25" s="66">
        <f t="shared" si="7"/>
        <v>4714</v>
      </c>
      <c r="M25" s="66">
        <f t="shared" si="7"/>
        <v>0</v>
      </c>
      <c r="N25" s="67">
        <f t="shared" si="4"/>
        <v>66607</v>
      </c>
      <c r="O25" s="66">
        <f t="shared" si="7"/>
        <v>0</v>
      </c>
      <c r="P25" s="66">
        <f t="shared" si="7"/>
        <v>0</v>
      </c>
      <c r="Q25" s="67">
        <f t="shared" si="5"/>
        <v>66607</v>
      </c>
      <c r="R25" s="67">
        <f t="shared" si="6"/>
        <v>181411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853</v>
      </c>
      <c r="C27" s="380" t="s">
        <v>587</v>
      </c>
      <c r="D27" s="192">
        <f>SUM(D28:D31)</f>
        <v>26845</v>
      </c>
      <c r="E27" s="192">
        <f aca="true" t="shared" si="8" ref="E27:P27">SUM(E28:E31)</f>
        <v>1521</v>
      </c>
      <c r="F27" s="192">
        <f t="shared" si="8"/>
        <v>0</v>
      </c>
      <c r="G27" s="71">
        <f t="shared" si="2"/>
        <v>28366</v>
      </c>
      <c r="H27" s="70">
        <f t="shared" si="8"/>
        <v>0</v>
      </c>
      <c r="I27" s="70">
        <f t="shared" si="8"/>
        <v>0</v>
      </c>
      <c r="J27" s="71">
        <f t="shared" si="3"/>
        <v>28366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28366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6043</v>
      </c>
      <c r="E29" s="189"/>
      <c r="F29" s="189"/>
      <c r="G29" s="74">
        <f t="shared" si="2"/>
        <v>6043</v>
      </c>
      <c r="H29" s="72"/>
      <c r="I29" s="72"/>
      <c r="J29" s="74">
        <f t="shared" si="3"/>
        <v>6043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6043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20802</v>
      </c>
      <c r="E30" s="189">
        <v>1521</v>
      </c>
      <c r="F30" s="189"/>
      <c r="G30" s="74">
        <f t="shared" si="2"/>
        <v>22323</v>
      </c>
      <c r="H30" s="72"/>
      <c r="I30" s="72"/>
      <c r="J30" s="74">
        <f t="shared" si="3"/>
        <v>22323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22323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646342</v>
      </c>
      <c r="E32" s="193">
        <f aca="true" t="shared" si="11" ref="E32:P32">SUM(E33:E36)</f>
        <v>333</v>
      </c>
      <c r="F32" s="193">
        <f t="shared" si="11"/>
        <v>228140</v>
      </c>
      <c r="G32" s="74">
        <f t="shared" si="2"/>
        <v>418535</v>
      </c>
      <c r="H32" s="73">
        <f t="shared" si="11"/>
        <v>0</v>
      </c>
      <c r="I32" s="73">
        <f t="shared" si="11"/>
        <v>0</v>
      </c>
      <c r="J32" s="74">
        <f t="shared" si="3"/>
        <v>418535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418535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608342</v>
      </c>
      <c r="E33" s="189"/>
      <c r="F33" s="189">
        <v>190140</v>
      </c>
      <c r="G33" s="74">
        <f t="shared" si="2"/>
        <v>418202</v>
      </c>
      <c r="H33" s="72"/>
      <c r="I33" s="72"/>
      <c r="J33" s="74">
        <f t="shared" si="3"/>
        <v>418202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418202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38000</v>
      </c>
      <c r="E36" s="189">
        <v>333</v>
      </c>
      <c r="F36" s="189">
        <v>38000</v>
      </c>
      <c r="G36" s="74">
        <f t="shared" si="2"/>
        <v>333</v>
      </c>
      <c r="H36" s="72"/>
      <c r="I36" s="72"/>
      <c r="J36" s="74">
        <f t="shared" si="3"/>
        <v>333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333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111994</v>
      </c>
      <c r="E37" s="189"/>
      <c r="F37" s="189"/>
      <c r="G37" s="74">
        <f t="shared" si="2"/>
        <v>111994</v>
      </c>
      <c r="H37" s="72"/>
      <c r="I37" s="72"/>
      <c r="J37" s="74">
        <f t="shared" si="3"/>
        <v>111994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111994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603</v>
      </c>
      <c r="D38" s="194">
        <f>D27+D32+D37</f>
        <v>785181</v>
      </c>
      <c r="E38" s="194">
        <f aca="true" t="shared" si="12" ref="E38:P38">E27+E32+E37</f>
        <v>1854</v>
      </c>
      <c r="F38" s="194">
        <f t="shared" si="12"/>
        <v>228140</v>
      </c>
      <c r="G38" s="74">
        <f t="shared" si="2"/>
        <v>558895</v>
      </c>
      <c r="H38" s="75">
        <f t="shared" si="12"/>
        <v>0</v>
      </c>
      <c r="I38" s="75">
        <f t="shared" si="12"/>
        <v>0</v>
      </c>
      <c r="J38" s="74">
        <f t="shared" si="3"/>
        <v>558895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558895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33317</v>
      </c>
      <c r="E39" s="570"/>
      <c r="F39" s="570"/>
      <c r="G39" s="74">
        <f t="shared" si="2"/>
        <v>33317</v>
      </c>
      <c r="H39" s="570"/>
      <c r="I39" s="570"/>
      <c r="J39" s="74">
        <f t="shared" si="3"/>
        <v>33317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33317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2104075</v>
      </c>
      <c r="E40" s="438">
        <f>E17+E18+E19+E25+E38+E39</f>
        <v>70677</v>
      </c>
      <c r="F40" s="438">
        <f aca="true" t="shared" si="13" ref="F40:R40">F17+F18+F19+F25+F38+F39</f>
        <v>259678</v>
      </c>
      <c r="G40" s="438">
        <f t="shared" si="13"/>
        <v>1915074</v>
      </c>
      <c r="H40" s="438">
        <f t="shared" si="13"/>
        <v>1157</v>
      </c>
      <c r="I40" s="438">
        <f t="shared" si="13"/>
        <v>0</v>
      </c>
      <c r="J40" s="438">
        <f t="shared" si="13"/>
        <v>1916231</v>
      </c>
      <c r="K40" s="438">
        <f t="shared" si="13"/>
        <v>320887</v>
      </c>
      <c r="L40" s="438">
        <f t="shared" si="13"/>
        <v>19841</v>
      </c>
      <c r="M40" s="438">
        <f t="shared" si="13"/>
        <v>3855</v>
      </c>
      <c r="N40" s="438">
        <f t="shared" si="13"/>
        <v>336873</v>
      </c>
      <c r="O40" s="438">
        <f t="shared" si="13"/>
        <v>0</v>
      </c>
      <c r="P40" s="438">
        <f t="shared" si="13"/>
        <v>0</v>
      </c>
      <c r="Q40" s="438">
        <f t="shared" si="13"/>
        <v>336873</v>
      </c>
      <c r="R40" s="438">
        <f t="shared" si="13"/>
        <v>1579358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884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5"/>
      <c r="L44" s="615"/>
      <c r="M44" s="615"/>
      <c r="N44" s="615"/>
      <c r="O44" s="609" t="s">
        <v>783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SheetLayoutView="100" zoomScalePageLayoutView="0" workbookViewId="0" topLeftCell="A82">
      <selection activeCell="C91" sqref="C91: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611</v>
      </c>
      <c r="B1" s="619"/>
      <c r="C1" s="619"/>
      <c r="D1" s="619"/>
      <c r="E1" s="619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22" t="str">
        <f>'справка №1-БАЛАНС'!E3</f>
        <v>"Химимпорт" АД</v>
      </c>
      <c r="C3" s="623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0">
        <f>'справка №1-БАЛАНС'!E5</f>
        <v>42551</v>
      </c>
      <c r="C4" s="621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12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7257</v>
      </c>
      <c r="D11" s="119">
        <f>SUM(D12:D14)</f>
        <v>0</v>
      </c>
      <c r="E11" s="120">
        <f>SUM(E12:E14)</f>
        <v>7257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7257</v>
      </c>
      <c r="D12" s="108"/>
      <c r="E12" s="120">
        <f aca="true" t="shared" si="0" ref="E12:E42">C12-D12</f>
        <v>7257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>
        <v>148551</v>
      </c>
      <c r="D15" s="108"/>
      <c r="E15" s="120">
        <f t="shared" si="0"/>
        <v>148551</v>
      </c>
      <c r="F15" s="106"/>
    </row>
    <row r="16" spans="1:15" ht="12">
      <c r="A16" s="396" t="s">
        <v>631</v>
      </c>
      <c r="B16" s="397" t="s">
        <v>632</v>
      </c>
      <c r="C16" s="119">
        <f>+C17+C18</f>
        <v>1491514</v>
      </c>
      <c r="D16" s="119">
        <f>+D17+D18</f>
        <v>0</v>
      </c>
      <c r="E16" s="120">
        <f t="shared" si="0"/>
        <v>1491514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>
        <v>107</v>
      </c>
      <c r="D17" s="108"/>
      <c r="E17" s="120">
        <f t="shared" si="0"/>
        <v>107</v>
      </c>
      <c r="F17" s="106"/>
    </row>
    <row r="18" spans="1:6" ht="12">
      <c r="A18" s="396" t="s">
        <v>627</v>
      </c>
      <c r="B18" s="397" t="s">
        <v>635</v>
      </c>
      <c r="C18" s="108">
        <v>1491407</v>
      </c>
      <c r="D18" s="108"/>
      <c r="E18" s="120">
        <f t="shared" si="0"/>
        <v>1491407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1647322</v>
      </c>
      <c r="D19" s="104">
        <f>D11+D15+D16</f>
        <v>0</v>
      </c>
      <c r="E19" s="118">
        <f>E11+E15+E16</f>
        <v>1647322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5187</v>
      </c>
      <c r="D21" s="108"/>
      <c r="E21" s="120">
        <f t="shared" si="0"/>
        <v>5187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202305</v>
      </c>
      <c r="D24" s="119">
        <f>SUM(D25:D27)</f>
        <v>202305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202305</v>
      </c>
      <c r="D25" s="108">
        <f>+C25</f>
        <v>202305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116426</v>
      </c>
      <c r="D28" s="108">
        <f>+C28</f>
        <v>116426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19728</v>
      </c>
      <c r="D29" s="108">
        <f>+C29</f>
        <v>19728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>
        <v>187912</v>
      </c>
      <c r="D30" s="108">
        <f>+C30</f>
        <v>187912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61819</v>
      </c>
      <c r="D31" s="108">
        <f>+C31</f>
        <v>61819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3779</v>
      </c>
      <c r="D33" s="105">
        <f>SUM(D34:D37)</f>
        <v>3779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143</v>
      </c>
      <c r="D34" s="108">
        <f>+C34</f>
        <v>143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f>3779-C34-C37</f>
        <v>3632</v>
      </c>
      <c r="D35" s="108">
        <f>+C35</f>
        <v>3632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4</v>
      </c>
      <c r="D37" s="108">
        <f>+C37</f>
        <v>4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173796</v>
      </c>
      <c r="D38" s="105">
        <f>SUM(D39:D42)</f>
        <v>173796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173796</v>
      </c>
      <c r="D42" s="108">
        <f>+C42</f>
        <v>173796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765765</v>
      </c>
      <c r="D43" s="104">
        <f>D24+D28+D29+D31+D30+D32+D33+D38</f>
        <v>765765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2418274</v>
      </c>
      <c r="D44" s="103">
        <f>D43+D21+D19+D9</f>
        <v>765765</v>
      </c>
      <c r="E44" s="118">
        <f>E43+E21+E19+E9</f>
        <v>1652509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2842</v>
      </c>
      <c r="D52" s="103">
        <f>SUM(D53:D55)</f>
        <v>0</v>
      </c>
      <c r="E52" s="119">
        <f>C52-D52</f>
        <v>2842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v>2842</v>
      </c>
      <c r="D53" s="108"/>
      <c r="E53" s="119">
        <f>C53-D53</f>
        <v>2842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93723</v>
      </c>
      <c r="D56" s="103">
        <f>D57+D59</f>
        <v>0</v>
      </c>
      <c r="E56" s="119">
        <f t="shared" si="1"/>
        <v>93723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93723</v>
      </c>
      <c r="D57" s="108"/>
      <c r="E57" s="119">
        <f t="shared" si="1"/>
        <v>93723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>
        <v>554</v>
      </c>
      <c r="D62" s="108"/>
      <c r="E62" s="119">
        <f t="shared" si="1"/>
        <v>554</v>
      </c>
      <c r="F62" s="110"/>
    </row>
    <row r="63" spans="1:6" ht="12">
      <c r="A63" s="396" t="s">
        <v>707</v>
      </c>
      <c r="B63" s="397" t="s">
        <v>708</v>
      </c>
      <c r="C63" s="108">
        <v>162714</v>
      </c>
      <c r="D63" s="108"/>
      <c r="E63" s="119">
        <f t="shared" si="1"/>
        <v>162714</v>
      </c>
      <c r="F63" s="110"/>
    </row>
    <row r="64" spans="1:6" ht="12">
      <c r="A64" s="396" t="s">
        <v>709</v>
      </c>
      <c r="B64" s="397" t="s">
        <v>710</v>
      </c>
      <c r="C64" s="108">
        <v>2116331</v>
      </c>
      <c r="D64" s="108"/>
      <c r="E64" s="119">
        <f t="shared" si="1"/>
        <v>2116331</v>
      </c>
      <c r="F64" s="110"/>
    </row>
    <row r="65" spans="1:6" ht="12">
      <c r="A65" s="396" t="s">
        <v>711</v>
      </c>
      <c r="B65" s="397" t="s">
        <v>712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2376164</v>
      </c>
      <c r="D66" s="103">
        <f>D52+D56+D61+D62+D63+D64</f>
        <v>0</v>
      </c>
      <c r="E66" s="119">
        <f t="shared" si="1"/>
        <v>2376164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29440</v>
      </c>
      <c r="D68" s="108"/>
      <c r="E68" s="119">
        <f t="shared" si="1"/>
        <v>29440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15027</v>
      </c>
      <c r="D71" s="105">
        <f>SUM(D72:D74)</f>
        <v>15027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>
        <f>+C72</f>
        <v>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15027</v>
      </c>
      <c r="D74" s="108">
        <f>+C74</f>
        <v>15027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82014</v>
      </c>
      <c r="D75" s="103">
        <f>D76+D78</f>
        <v>82014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64368</v>
      </c>
      <c r="D76" s="108">
        <f>+C76</f>
        <v>64368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8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>
        <v>17646</v>
      </c>
      <c r="D78" s="108">
        <f>+C78</f>
        <v>17646</v>
      </c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>
        <v>0</v>
      </c>
      <c r="D79" s="109">
        <f>+C79</f>
        <v>0</v>
      </c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13323</v>
      </c>
      <c r="D80" s="103">
        <f>SUM(D81:D84)</f>
        <v>13323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>
        <v>13323</v>
      </c>
      <c r="D82" s="108">
        <f>+C82</f>
        <v>13323</v>
      </c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189305</v>
      </c>
      <c r="D85" s="104">
        <f>SUM(D86:D90)+D94</f>
        <v>189305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33525</v>
      </c>
      <c r="D86" s="108">
        <f>+C86</f>
        <v>33525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135651</v>
      </c>
      <c r="D87" s="108">
        <f>+C87</f>
        <v>135651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4800</v>
      </c>
      <c r="D88" s="108">
        <f>+C88</f>
        <v>4800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9868</v>
      </c>
      <c r="D89" s="108">
        <f>+C89</f>
        <v>9868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3472</v>
      </c>
      <c r="D90" s="103">
        <f>SUM(D91:D93)</f>
        <v>3472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1046</v>
      </c>
      <c r="D91" s="108">
        <f>+C91</f>
        <v>1046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856</v>
      </c>
      <c r="D92" s="108">
        <f>+C92</f>
        <v>856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f>3472-C92-C91</f>
        <v>1570</v>
      </c>
      <c r="D93" s="108">
        <f>+C93</f>
        <v>1570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1989</v>
      </c>
      <c r="D94" s="108">
        <f>+C94</f>
        <v>1989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3712345</v>
      </c>
      <c r="D95" s="108">
        <f>+C95</f>
        <v>3712345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4012014</v>
      </c>
      <c r="D96" s="104">
        <f>D85+D80+D75+D71+D95</f>
        <v>4012014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6417618</v>
      </c>
      <c r="D97" s="104">
        <f>D96+D68+D66</f>
        <v>4012014</v>
      </c>
      <c r="E97" s="104">
        <f>E96+E68+E66</f>
        <v>2405604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31</v>
      </c>
      <c r="D104" s="108">
        <f>6-6</f>
        <v>0</v>
      </c>
      <c r="E104" s="108">
        <v>0</v>
      </c>
      <c r="F104" s="125">
        <f>C104+D104-E104</f>
        <v>31</v>
      </c>
    </row>
    <row r="105" spans="1:16" ht="12">
      <c r="A105" s="412" t="s">
        <v>779</v>
      </c>
      <c r="B105" s="395" t="s">
        <v>780</v>
      </c>
      <c r="C105" s="103">
        <f>SUM(C102:C104)</f>
        <v>31</v>
      </c>
      <c r="D105" s="103">
        <f>SUM(D102:D104)</f>
        <v>0</v>
      </c>
      <c r="E105" s="103">
        <f>SUM(E102:E104)</f>
        <v>0</v>
      </c>
      <c r="F105" s="103">
        <f>SUM(F102:F104)</f>
        <v>31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782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882</v>
      </c>
      <c r="B109" s="617"/>
      <c r="C109" s="617" t="s">
        <v>383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783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view="pageBreakPreview" zoomScale="6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24" t="str">
        <f>'справка №1-БАЛАНС'!E3</f>
        <v>"Химимпорт" АД</v>
      </c>
      <c r="C4" s="624"/>
      <c r="D4" s="624"/>
      <c r="E4" s="624"/>
      <c r="F4" s="624"/>
      <c r="G4" s="630" t="s">
        <v>2</v>
      </c>
      <c r="H4" s="630"/>
      <c r="I4" s="498">
        <f>'справка №1-БАЛАНС'!H3</f>
        <v>627519</v>
      </c>
    </row>
    <row r="5" spans="1:9" ht="15">
      <c r="A5" s="499" t="s">
        <v>5</v>
      </c>
      <c r="B5" s="625">
        <f>'справка №1-БАЛАНС'!E5</f>
        <v>42551</v>
      </c>
      <c r="C5" s="625"/>
      <c r="D5" s="625"/>
      <c r="E5" s="625"/>
      <c r="F5" s="625"/>
      <c r="G5" s="628" t="s">
        <v>4</v>
      </c>
      <c r="H5" s="629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/>
      <c r="G16" s="98">
        <v>0</v>
      </c>
      <c r="H16" s="98">
        <v>0</v>
      </c>
      <c r="I16" s="434">
        <f t="shared" si="0"/>
        <v>0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" t="s">
        <v>881</v>
      </c>
      <c r="B30" s="627"/>
      <c r="C30" s="627"/>
      <c r="D30" s="457" t="s">
        <v>821</v>
      </c>
      <c r="E30" s="626"/>
      <c r="F30" s="626"/>
      <c r="G30" s="626"/>
      <c r="H30" s="420" t="s">
        <v>783</v>
      </c>
      <c r="I30" s="626"/>
      <c r="J30" s="626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view="pageBreakPreview" zoomScaleSheetLayoutView="100" zoomScalePageLayoutView="0" workbookViewId="0" topLeftCell="A26">
      <selection activeCell="C47" sqref="C47:D5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1" t="str">
        <f>'справка №1-БАЛАНС'!E3</f>
        <v>"Химимпорт" АД</v>
      </c>
      <c r="C5" s="631"/>
      <c r="D5" s="631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32">
        <f>'справка №1-БАЛАНС'!E5</f>
        <v>42551</v>
      </c>
      <c r="C6" s="632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577"/>
      <c r="E11" s="429"/>
      <c r="F11" s="429"/>
    </row>
    <row r="12" spans="1:6" ht="14.25" customHeight="1">
      <c r="A12" s="36" t="s">
        <v>832</v>
      </c>
      <c r="B12" s="37"/>
      <c r="C12" s="441"/>
      <c r="D12" s="576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576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576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576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576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576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576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576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576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576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576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576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576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576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576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577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577"/>
      <c r="E28" s="429"/>
      <c r="F28" s="442"/>
    </row>
    <row r="29" spans="1:6" ht="12.75">
      <c r="A29" s="36" t="s">
        <v>866</v>
      </c>
      <c r="B29" s="40"/>
      <c r="C29" s="441">
        <v>1036</v>
      </c>
      <c r="D29" s="576" t="s">
        <v>875</v>
      </c>
      <c r="E29" s="441"/>
      <c r="F29" s="443">
        <f>C29-E29</f>
        <v>1036</v>
      </c>
    </row>
    <row r="30" spans="1:6" ht="12.75">
      <c r="A30" s="36" t="s">
        <v>878</v>
      </c>
      <c r="B30" s="40"/>
      <c r="C30" s="441">
        <v>5007</v>
      </c>
      <c r="D30" s="576">
        <v>0.5</v>
      </c>
      <c r="E30" s="441"/>
      <c r="F30" s="443">
        <f aca="true" t="shared" si="1" ref="F30:F43">C30-E30</f>
        <v>5007</v>
      </c>
    </row>
    <row r="31" spans="1:6" ht="12.75">
      <c r="A31" s="36" t="s">
        <v>551</v>
      </c>
      <c r="B31" s="40"/>
      <c r="C31" s="441"/>
      <c r="D31" s="576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576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76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76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76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76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76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76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76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76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76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76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76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6043</v>
      </c>
      <c r="D44" s="577"/>
      <c r="E44" s="429">
        <f>SUM(E29:E43)</f>
        <v>0</v>
      </c>
      <c r="F44" s="442">
        <f>SUM(F29:F43)</f>
        <v>6043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577"/>
      <c r="E45" s="429"/>
      <c r="F45" s="442"/>
    </row>
    <row r="46" spans="1:6" ht="12.75">
      <c r="A46" s="36" t="s">
        <v>867</v>
      </c>
      <c r="B46" s="40"/>
      <c r="C46" s="441"/>
      <c r="D46" s="578"/>
      <c r="E46" s="441"/>
      <c r="F46" s="443">
        <f>C46-E46</f>
        <v>0</v>
      </c>
    </row>
    <row r="47" spans="1:6" ht="12.75">
      <c r="A47" s="36" t="s">
        <v>874</v>
      </c>
      <c r="B47" s="40"/>
      <c r="C47" s="441">
        <v>3967</v>
      </c>
      <c r="D47" s="578">
        <v>0.425</v>
      </c>
      <c r="E47" s="441"/>
      <c r="F47" s="443">
        <f aca="true" t="shared" si="2" ref="F47:F60">C47-E47</f>
        <v>3967</v>
      </c>
    </row>
    <row r="48" spans="1:6" ht="12.75">
      <c r="A48" s="36" t="s">
        <v>868</v>
      </c>
      <c r="B48" s="40"/>
      <c r="C48" s="441">
        <v>3318</v>
      </c>
      <c r="D48" s="578">
        <v>0.45</v>
      </c>
      <c r="E48" s="441"/>
      <c r="F48" s="443">
        <f t="shared" si="2"/>
        <v>3318</v>
      </c>
    </row>
    <row r="49" spans="1:6" ht="12.75">
      <c r="A49" s="36" t="s">
        <v>869</v>
      </c>
      <c r="B49" s="40"/>
      <c r="C49" s="441">
        <v>6156</v>
      </c>
      <c r="D49" s="578">
        <v>0.249</v>
      </c>
      <c r="E49" s="441"/>
      <c r="F49" s="443">
        <f t="shared" si="2"/>
        <v>6156</v>
      </c>
    </row>
    <row r="50" spans="1:6" ht="12.75">
      <c r="A50" s="36" t="s">
        <v>870</v>
      </c>
      <c r="B50" s="37"/>
      <c r="C50" s="441">
        <v>3185</v>
      </c>
      <c r="D50" s="578">
        <v>0.41</v>
      </c>
      <c r="E50" s="441"/>
      <c r="F50" s="443">
        <f t="shared" si="2"/>
        <v>3185</v>
      </c>
    </row>
    <row r="51" spans="1:6" ht="12.75">
      <c r="A51" s="36" t="s">
        <v>871</v>
      </c>
      <c r="B51" s="37"/>
      <c r="C51" s="441">
        <v>748</v>
      </c>
      <c r="D51" s="578">
        <v>0.3998</v>
      </c>
      <c r="E51" s="441"/>
      <c r="F51" s="443">
        <f t="shared" si="2"/>
        <v>748</v>
      </c>
    </row>
    <row r="52" spans="1:6" ht="12.75">
      <c r="A52" s="36" t="s">
        <v>872</v>
      </c>
      <c r="B52" s="37"/>
      <c r="C52" s="441">
        <v>479</v>
      </c>
      <c r="D52" s="578">
        <v>0.35</v>
      </c>
      <c r="E52" s="441"/>
      <c r="F52" s="443">
        <f t="shared" si="2"/>
        <v>479</v>
      </c>
    </row>
    <row r="53" spans="1:6" ht="12.75">
      <c r="A53" s="36" t="s">
        <v>873</v>
      </c>
      <c r="B53" s="37"/>
      <c r="C53" s="441">
        <v>4470</v>
      </c>
      <c r="D53" s="578">
        <v>0.49</v>
      </c>
      <c r="E53" s="441"/>
      <c r="F53" s="443">
        <f t="shared" si="2"/>
        <v>4470</v>
      </c>
    </row>
    <row r="54" spans="1:6" ht="12.75">
      <c r="A54" s="36"/>
      <c r="B54" s="37"/>
      <c r="C54" s="441"/>
      <c r="D54" s="576"/>
      <c r="E54" s="441"/>
      <c r="F54" s="443">
        <f t="shared" si="2"/>
        <v>0</v>
      </c>
    </row>
    <row r="55" spans="1:6" ht="12.75">
      <c r="A55" s="36"/>
      <c r="B55" s="37"/>
      <c r="C55" s="441"/>
      <c r="D55" s="576"/>
      <c r="E55" s="441"/>
      <c r="F55" s="443">
        <f t="shared" si="2"/>
        <v>0</v>
      </c>
    </row>
    <row r="56" spans="1:6" ht="12.75">
      <c r="A56" s="36"/>
      <c r="B56" s="37"/>
      <c r="C56" s="441"/>
      <c r="D56" s="576"/>
      <c r="E56" s="441"/>
      <c r="F56" s="443">
        <f t="shared" si="2"/>
        <v>0</v>
      </c>
    </row>
    <row r="57" spans="1:6" ht="12.75">
      <c r="A57" s="36"/>
      <c r="B57" s="37"/>
      <c r="C57" s="441"/>
      <c r="D57" s="576"/>
      <c r="E57" s="441"/>
      <c r="F57" s="443">
        <f t="shared" si="2"/>
        <v>0</v>
      </c>
    </row>
    <row r="58" spans="1:6" ht="12.75">
      <c r="A58" s="36"/>
      <c r="B58" s="37"/>
      <c r="C58" s="441"/>
      <c r="D58" s="576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576"/>
      <c r="E59" s="441"/>
      <c r="F59" s="443">
        <f t="shared" si="2"/>
        <v>0</v>
      </c>
    </row>
    <row r="60" spans="1:6" ht="12.75">
      <c r="A60" s="36"/>
      <c r="B60" s="37"/>
      <c r="C60" s="441"/>
      <c r="D60" s="576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22323</v>
      </c>
      <c r="D61" s="577"/>
      <c r="E61" s="429">
        <f>SUM(E46:E60)</f>
        <v>0</v>
      </c>
      <c r="F61" s="442">
        <f>SUM(F46:F60)</f>
        <v>22323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577"/>
      <c r="E62" s="429"/>
      <c r="F62" s="442"/>
    </row>
    <row r="63" spans="1:6" ht="12.75">
      <c r="A63" s="36" t="s">
        <v>545</v>
      </c>
      <c r="B63" s="40"/>
      <c r="C63" s="441"/>
      <c r="D63" s="576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576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576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576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76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76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76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76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76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76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76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76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76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76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76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577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28366</v>
      </c>
      <c r="D79" s="577"/>
      <c r="E79" s="429">
        <f>E78+E61+E44+E27</f>
        <v>0</v>
      </c>
      <c r="F79" s="442">
        <f>F78+F61+F44+F27</f>
        <v>28366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577"/>
      <c r="E80" s="429"/>
      <c r="F80" s="442"/>
    </row>
    <row r="81" spans="1:6" ht="14.25" customHeight="1">
      <c r="A81" s="36" t="s">
        <v>831</v>
      </c>
      <c r="B81" s="40"/>
      <c r="C81" s="429"/>
      <c r="D81" s="577"/>
      <c r="E81" s="429"/>
      <c r="F81" s="442"/>
    </row>
    <row r="82" spans="1:6" ht="12.75">
      <c r="A82" s="36" t="s">
        <v>832</v>
      </c>
      <c r="B82" s="40"/>
      <c r="C82" s="441"/>
      <c r="D82" s="576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576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576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576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76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76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76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76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76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76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76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76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76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76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76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577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577"/>
      <c r="E98" s="429"/>
      <c r="F98" s="442"/>
    </row>
    <row r="99" spans="1:6" ht="12.75">
      <c r="A99" s="36">
        <v>1</v>
      </c>
      <c r="B99" s="40"/>
      <c r="C99" s="441"/>
      <c r="D99" s="576"/>
      <c r="E99" s="441"/>
      <c r="F99" s="443">
        <f>C99-E99</f>
        <v>0</v>
      </c>
    </row>
    <row r="100" spans="1:6" ht="12.75">
      <c r="A100" s="36">
        <v>2</v>
      </c>
      <c r="B100" s="40"/>
      <c r="C100" s="441"/>
      <c r="D100" s="576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576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576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76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76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76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76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76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76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76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76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76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76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76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577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577"/>
      <c r="E115" s="429"/>
      <c r="F115" s="442"/>
    </row>
    <row r="116" spans="1:6" ht="12.75">
      <c r="A116" s="36"/>
      <c r="B116" s="40"/>
      <c r="C116" s="441"/>
      <c r="D116" s="576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576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576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576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76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76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76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76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76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76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76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76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76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76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76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577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577"/>
      <c r="E132" s="429"/>
      <c r="F132" s="442"/>
    </row>
    <row r="133" spans="1:6" ht="12.75">
      <c r="A133" s="36" t="s">
        <v>545</v>
      </c>
      <c r="B133" s="40"/>
      <c r="C133" s="441"/>
      <c r="D133" s="576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576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576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576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576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576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576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576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76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76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76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76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76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76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76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577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880</v>
      </c>
      <c r="B151" s="452"/>
      <c r="C151" s="633" t="s">
        <v>851</v>
      </c>
      <c r="D151" s="633"/>
      <c r="E151" s="633"/>
      <c r="F151" s="633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3" t="s">
        <v>856</v>
      </c>
      <c r="D153" s="633"/>
      <c r="E153" s="633"/>
      <c r="F153" s="633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46:F60 C133:F147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d.paskova</cp:lastModifiedBy>
  <cp:lastPrinted>2016-08-26T12:31:55Z</cp:lastPrinted>
  <dcterms:created xsi:type="dcterms:W3CDTF">2000-06-29T12:02:40Z</dcterms:created>
  <dcterms:modified xsi:type="dcterms:W3CDTF">2016-08-29T14:39:25Z</dcterms:modified>
  <cp:category/>
  <cp:version/>
  <cp:contentType/>
  <cp:contentStatus/>
</cp:coreProperties>
</file>