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67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<sst xmlns="http://schemas.openxmlformats.org/spreadsheetml/2006/main" count="4321" uniqueCount="1002">
  <si>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</si>
  <si>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</si>
  <si>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</si>
  <si>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</si>
  <si>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</si>
  <si>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</si>
  <si>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</si>
  <si>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</si>
  <si>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</si>
  <si>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</si>
  <si>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</si>
  <si>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</si>
  <si>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</si>
  <si>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</si>
  <si>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</si>
  <si>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</si>
  <si>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</si>
  <si>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</si>
  <si>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</si>
  <si>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</si>
  <si>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</si>
  <si>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</si>
  <si>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</si>
  <si>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</si>
  <si>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</si>
  <si>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</si>
  <si>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</si>
  <si>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</si>
  <si>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</si>
  <si>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</si>
  <si>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</si>
  <si>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</si>
  <si>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</si>
  <si>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</si>
  <si>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</si>
  <si>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</si>
  <si>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</si>
  <si>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</si>
  <si>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</si>
  <si>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</si>
  <si>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</si>
  <si>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</si>
  <si>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</si>
  <si>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</si>
  <si>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</si>
  <si>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</si>
  <si>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</si>
  <si>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</si>
  <si>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</si>
  <si>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</si>
  <si>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</si>
  <si>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</si>
  <si>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</si>
  <si>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</si>
  <si>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</si>
  <si>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</si>
  <si>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</si>
  <si>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</si>
  <si>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</si>
  <si>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</si>
  <si>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</si>
  <si>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</si>
  <si>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</si>
  <si>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</si>
  <si>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</si>
  <si>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</si>
  <si>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</si>
  <si>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</si>
  <si>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</si>
  <si>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</si>
  <si>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</si>
  <si>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</si>
  <si>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</si>
  <si>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</si>
  <si>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</si>
  <si>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</si>
  <si>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</si>
  <si>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</si>
  <si>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</si>
  <si>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</si>
  <si>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</si>
  <si>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</si>
  <si>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</si>
  <si>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</si>
  <si>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</si>
  <si>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</si>
  <si>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</si>
  <si>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</si>
  <si>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</si>
  <si>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</si>
  <si>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</si>
  <si>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</si>
  <si>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</si>
  <si>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</si>
  <si>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</si>
  <si>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</si>
  <si>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</si>
  <si>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</si>
  <si>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</si>
  <si>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</si>
  <si>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</si>
  <si>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</si>
  <si>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</si>
  <si>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</si>
  <si>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</si>
  <si>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</si>
  <si>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</si>
  <si>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</si>
  <si>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</si>
  <si>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</si>
  <si>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</si>
  <si>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</si>
  <si>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</si>
  <si>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</si>
  <si>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</si>
  <si>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</si>
  <si>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</si>
  <si>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</si>
  <si>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</si>
  <si>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</si>
  <si>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</si>
  <si>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</si>
  <si>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</si>
  <si>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</si>
  <si>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</si>
  <si>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</si>
  <si>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</si>
  <si>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</si>
  <si>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</si>
  <si>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</si>
  <si>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</si>
  <si>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</si>
  <si>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</si>
  <si>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</si>
  <si>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</si>
  <si>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</si>
  <si>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</si>
  <si>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</si>
  <si>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</si>
  <si>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</si>
  <si>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</si>
  <si>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</si>
  <si>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</si>
  <si>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</si>
  <si>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</si>
  <si>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</si>
  <si>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</si>
  <si>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</si>
  <si>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</si>
  <si>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</si>
  <si>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</si>
  <si>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</si>
  <si>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</si>
  <si>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</si>
  <si>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</si>
  <si>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</si>
  <si>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</si>
  <si>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</si>
  <si>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</si>
  <si>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</si>
  <si>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</si>
  <si>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</si>
  <si>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</si>
  <si>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</si>
  <si>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</si>
  <si>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</si>
  <si>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</si>
  <si>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</si>
  <si>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</si>
  <si>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</si>
  <si>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</si>
  <si>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</si>
  <si>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</si>
  <si>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</si>
  <si>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</si>
  <si>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</si>
  <si>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</si>
  <si>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</si>
  <si>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</si>
  <si>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</si>
  <si>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</si>
  <si>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</si>
  <si>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</si>
  <si>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</si>
  <si>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</si>
  <si>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</si>
  <si>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</si>
  <si>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</si>
  <si>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</si>
  <si>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</si>
  <si>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</si>
  <si>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</si>
  <si>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</si>
  <si>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</si>
  <si>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</si>
  <si>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</si>
  <si>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</si>
  <si>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</si>
  <si>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</si>
  <si>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</si>
  <si>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</si>
  <si>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</si>
  <si>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</si>
  <si>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</si>
  <si>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</si>
  <si>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</si>
  <si>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</si>
  <si>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</si>
  <si>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</si>
  <si>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</si>
  <si>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</si>
  <si>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</si>
  <si>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</si>
  <si>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</si>
  <si>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</si>
  <si>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</si>
  <si>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</si>
  <si>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</si>
  <si>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</si>
  <si>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</si>
  <si>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</si>
  <si>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</si>
  <si>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</si>
  <si>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</si>
  <si>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</si>
  <si>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</si>
  <si>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</si>
  <si>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</si>
  <si>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</si>
  <si>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</si>
  <si>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</si>
  <si>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</si>
  <si>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</si>
  <si>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</si>
  <si>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</si>
  <si>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</si>
  <si>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</si>
  <si>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</si>
  <si>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</si>
  <si>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</si>
  <si>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</si>
  <si>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</si>
  <si>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</si>
  <si>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</si>
  <si>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</si>
  <si>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</si>
  <si>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</si>
  <si>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</si>
  <si>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</si>
  <si>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</si>
  <si>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</si>
  <si>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</si>
  <si>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</si>
  <si>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</si>
  <si>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</si>
  <si>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</si>
  <si>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</si>
  <si>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</si>
  <si>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</si>
  <si>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</si>
  <si>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</si>
  <si>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</si>
  <si>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</si>
  <si>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</si>
  <si>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</si>
  <si>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</si>
  <si>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</si>
  <si>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</si>
  <si>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</si>
  <si>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</si>
  <si>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</si>
  <si>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</si>
  <si>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</si>
  <si>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</si>
  <si>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</si>
  <si>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</si>
  <si>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</si>
  <si>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</si>
  <si>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</si>
  <si>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</si>
  <si>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</si>
  <si>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</si>
  <si>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</si>
  <si>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</si>
  <si>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</si>
  <si>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</si>
  <si>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</si>
  <si>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</si>
  <si>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</si>
  <si>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</si>
  <si>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</si>
  <si>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</si>
  <si>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</si>
  <si>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</si>
  <si>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</si>
  <si>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</si>
  <si>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</si>
  <si>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</si>
  <si>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</si>
  <si>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</si>
  <si>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</si>
  <si>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</si>
  <si>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</si>
  <si>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</si>
  <si>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</si>
  <si>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</si>
  <si>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</si>
  <si>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</si>
  <si>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</si>
  <si>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</si>
  <si>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</si>
  <si>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</si>
  <si>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</si>
  <si>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</si>
  <si>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</si>
  <si>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</si>
  <si>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</si>
  <si>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</si>
  <si>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</si>
  <si>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</si>
  <si>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</si>
  <si>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</si>
  <si>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</si>
  <si>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</si>
  <si>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</si>
  <si>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</si>
  <si>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</si>
  <si>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</si>
  <si>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</si>
  <si>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</si>
  <si>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</si>
  <si>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</si>
  <si>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</si>
  <si>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</si>
  <si>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</si>
  <si>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</si>
  <si>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</si>
  <si>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</si>
  <si>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</si>
  <si>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</si>
  <si>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</si>
  <si>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</si>
  <si>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</si>
  <si>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</si>
  <si>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</si>
  <si>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</si>
  <si>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</si>
  <si>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</si>
  <si>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</si>
  <si>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</si>
  <si>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</si>
  <si>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</si>
  <si>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</si>
  <si>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</si>
  <si>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</si>
  <si>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</si>
  <si>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</si>
  <si>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</si>
  <si>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</si>
  <si>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</si>
  <si>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</si>
  <si>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</si>
  <si>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</si>
  <si>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</si>
  <si>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</si>
  <si>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</si>
  <si>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</si>
  <si>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</si>
  <si>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</si>
  <si>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</si>
  <si>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</si>
  <si>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</si>
  <si>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</si>
  <si>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</si>
  <si>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</si>
  <si>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</si>
  <si>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</si>
  <si>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</si>
  <si>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</si>
  <si>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</si>
  <si>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</si>
  <si>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</si>
  <si>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</si>
  <si>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</si>
  <si>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</si>
  <si>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</si>
  <si>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</si>
  <si>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</si>
  <si>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</si>
  <si>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</si>
  <si>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</si>
  <si>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</si>
  <si>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</si>
  <si>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</si>
  <si>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</si>
  <si>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</si>
  <si>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</si>
  <si>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</si>
  <si>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</si>
  <si>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</si>
  <si>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</si>
  <si>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</si>
  <si>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</si>
  <si>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</si>
  <si>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</si>
  <si>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</si>
  <si>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</si>
  <si>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</si>
  <si>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</si>
  <si>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</si>
  <si>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</si>
  <si>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</si>
  <si>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</si>
  <si>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</si>
  <si>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</si>
  <si>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</si>
  <si>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</si>
  <si>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</si>
  <si>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</si>
  <si>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</si>
  <si>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</si>
  <si>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</si>
  <si>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</si>
  <si>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</si>
  <si>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</si>
  <si>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</si>
  <si>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</si>
  <si>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</si>
  <si>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</si>
  <si>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</si>
  <si>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</si>
  <si>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</si>
  <si>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</si>
  <si>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</si>
  <si>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</si>
  <si>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</si>
  <si>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</si>
  <si>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</si>
  <si>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</si>
  <si>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</si>
  <si>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</si>
  <si>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</si>
  <si>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</si>
  <si>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</si>
  <si>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</si>
  <si>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</si>
  <si>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</si>
  <si>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</si>
  <si>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</si>
  <si>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</si>
  <si>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</si>
  <si>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</si>
  <si>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</si>
  <si>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</si>
  <si>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</si>
  <si>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</si>
  <si>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</si>
  <si>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</si>
  <si>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</si>
  <si>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</si>
  <si>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</si>
  <si>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</si>
  <si>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</si>
  <si>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</si>
  <si>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</si>
  <si>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</si>
  <si>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</si>
  <si>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</si>
  <si>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</si>
  <si>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</si>
  <si>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</si>
  <si>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</si>
  <si>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</si>
  <si>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</si>
  <si>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</si>
  <si>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</si>
  <si>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</si>
  <si>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</si>
  <si>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</si>
  <si>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</si>
  <si>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</si>
  <si>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</si>
  <si>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</si>
  <si>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</si>
  <si>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</si>
  <si>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</si>
  <si>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</si>
  <si>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</si>
  <si>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</si>
  <si>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</si>
  <si>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</si>
  <si>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</si>
  <si>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</si>
  <si>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</si>
  <si>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</si>
  <si>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</si>
  <si>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</si>
  <si>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</si>
  <si>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</si>
  <si>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</si>
  <si>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</si>
  <si>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</si>
  <si>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</si>
  <si>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</si>
  <si>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</si>
  <si>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</si>
  <si>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</si>
  <si>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</si>
  <si>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</si>
  <si>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</si>
  <si>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</si>
  <si>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</si>
  <si>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</si>
  <si>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</si>
  <si>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</si>
  <si>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</si>
  <si>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</si>
  <si>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</si>
  <si>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</si>
  <si>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</si>
  <si>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</si>
  <si>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</si>
  <si>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</si>
  <si>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</si>
  <si>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</si>
  <si>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</si>
  <si>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</si>
  <si>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</si>
  <si>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</si>
  <si>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</si>
  <si>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</si>
  <si>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</si>
  <si>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</si>
  <si>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</si>
  <si>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</si>
  <si>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</si>
  <si>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</si>
  <si>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</si>
  <si>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</si>
  <si>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</si>
  <si>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</si>
  <si>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</si>
  <si>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</si>
  <si>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</si>
  <si>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</si>
  <si>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</si>
  <si>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</si>
  <si>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</si>
  <si>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</si>
  <si>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</si>
  <si>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</si>
  <si>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</si>
  <si>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</si>
  <si>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</si>
  <si>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</si>
  <si>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</si>
  <si>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</si>
  <si>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</si>
  <si>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</si>
  <si>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</si>
  <si>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</si>
  <si>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</si>
  <si>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</si>
  <si>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</si>
  <si>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</si>
  <si>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</si>
  <si>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</si>
  <si>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</si>
  <si>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</si>
  <si>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</si>
  <si>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</si>
  <si>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</si>
  <si>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</si>
  <si>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</si>
  <si>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</si>
  <si>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</si>
  <si>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</si>
  <si>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</si>
  <si>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</si>
  <si>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</si>
  <si>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</si>
  <si>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</si>
  <si>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</si>
  <si>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</si>
  <si>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</si>
  <si>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</si>
  <si>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</si>
  <si>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</si>
  <si>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</si>
  <si>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</si>
  <si>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</si>
  <si>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</si>
  <si>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</si>
  <si>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</si>
  <si>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</si>
  <si>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</si>
  <si>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</si>
  <si>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</si>
  <si>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</si>
  <si>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</si>
  <si>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</si>
  <si>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</si>
  <si>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</si>
  <si>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</si>
  <si>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</si>
  <si>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</si>
  <si>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</si>
  <si>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</si>
  <si>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</si>
  <si>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</si>
  <si>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</si>
  <si>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</si>
  <si>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</si>
  <si>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</si>
  <si>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</si>
  <si>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</si>
  <si>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</si>
  <si>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</si>
  <si>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</si>
  <si>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</si>
  <si>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</si>
  <si>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</si>
  <si>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</si>
  <si>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</si>
  <si>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</si>
  <si>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</si>
  <si>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</si>
  <si>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</si>
  <si>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</si>
  <si>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</si>
  <si>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</si>
  <si>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</si>
  <si>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</si>
  <si>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</si>
  <si>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</si>
  <si>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</si>
  <si>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</si>
  <si>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</si>
  <si>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</si>
  <si>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</si>
  <si>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</si>
  <si>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</si>
  <si>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</si>
  <si>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</si>
  <si>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</si>
  <si>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</si>
  <si>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</si>
  <si>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</si>
  <si>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</si>
  <si>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</si>
  <si>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</si>
  <si>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</si>
  <si>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</si>
  <si>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</si>
  <si>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</si>
  <si>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</si>
  <si>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</si>
  <si>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</si>
  <si>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</si>
  <si>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</si>
  <si>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</si>
  <si>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</si>
  <si>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</si>
  <si>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</si>
  <si>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</si>
  <si>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</si>
  <si>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</si>
  <si>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</si>
  <si>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</si>
  <si>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</si>
  <si>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</si>
  <si>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</si>
  <si>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</si>
  <si>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</si>
  <si>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</si>
  <si>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</si>
  <si>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</si>
  <si>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</si>
  <si>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</si>
  <si>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</si>
  <si>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</si>
  <si>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</si>
  <si>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</si>
  <si>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</si>
  <si>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</si>
  <si>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</si>
  <si>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</si>
  <si>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</si>
  <si>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</si>
  <si>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</si>
  <si>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</si>
  <si>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</si>
  <si>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</si>
  <si>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</si>
  <si>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</si>
  <si>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</si>
  <si>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</si>
  <si>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</si>
  <si>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</si>
  <si>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</si>
  <si>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</si>
  <si>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</si>
  <si>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</si>
  <si>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</si>
  <si>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</si>
  <si>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</si>
  <si>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</si>
  <si>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</si>
  <si>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</si>
  <si>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</si>
  <si>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</si>
  <si>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</si>
  <si>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</si>
  <si>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</si>
  <si>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</si>
  <si>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</si>
  <si>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</si>
  <si>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</si>
  <si>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</si>
  <si>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</si>
  <si>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</si>
  <si>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</si>
  <si>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</si>
  <si>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</si>
  <si>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</si>
  <si>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</si>
  <si>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</si>
  <si>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</si>
  <si>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</si>
  <si>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</si>
  <si>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</si>
  <si>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</si>
  <si>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</si>
  <si>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</si>
  <si>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</si>
  <si>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</si>
  <si>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</si>
  <si>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</si>
  <si>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</si>
  <si>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</si>
  <si>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</si>
  <si>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</si>
  <si>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</si>
  <si>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</si>
  <si>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</si>
  <si>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</si>
  <si>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</si>
  <si>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</si>
  <si>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</si>
  <si>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</si>
  <si>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</si>
  <si>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</si>
  <si>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</si>
  <si>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</si>
  <si>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</si>
  <si>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</si>
  <si>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</si>
  <si>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</si>
  <si>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</si>
  <si>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</si>
  <si>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</si>
  <si>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</si>
  <si>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</si>
  <si>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</si>
  <si>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</si>
  <si>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</si>
  <si>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</si>
  <si>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</si>
  <si>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</si>
  <si>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</si>
  <si>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</si>
  <si>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</si>
  <si>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</si>
  <si>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</si>
  <si>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</si>
  <si>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</si>
  <si>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</si>
  <si>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</si>
  <si>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</si>
  <si>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</si>
  <si>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</si>
  <si>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</si>
  <si>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</si>
  <si>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</si>
  <si>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</si>
  <si>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</si>
  <si>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</si>
  <si>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</si>
  <si>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</si>
  <si>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</si>
  <si>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</si>
  <si>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</si>
  <si>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</si>
  <si>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</si>
  <si>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</si>
  <si>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</si>
  <si>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</si>
  <si>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</si>
  <si>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</si>
  <si>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</si>
  <si>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</si>
  <si>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</si>
  <si>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</si>
  <si>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</si>
  <si>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</si>
  <si>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</si>
  <si>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</si>
  <si>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</si>
  <si>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</si>
  <si>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</si>
  <si>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</si>
  <si>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</si>
  <si>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</si>
  <si>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</si>
  <si>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</si>
  <si>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</si>
  <si>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</si>
  <si>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</si>
  <si>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</si>
  <si>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</si>
  <si>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</si>
  <si>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</si>
  <si>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</si>
  <si>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</si>
  <si>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</si>
  <si>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</si>
  <si>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</si>
  <si>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</si>
  <si>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</si>
  <si>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</si>
  <si>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</si>
  <si>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</si>
  <si>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</si>
  <si>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</si>
  <si>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</si>
  <si>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</si>
  <si>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</si>
  <si>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</si>
  <si>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</si>
  <si>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</si>
  <si>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</si>
  <si>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</si>
  <si>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</si>
  <si>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</si>
  <si>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</si>
  <si>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</si>
  <si>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</si>
  <si>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</si>
  <si>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</si>
  <si>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</si>
  <si>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</si>
  <si>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</si>
  <si>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</si>
  <si>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</si>
  <si>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</si>
  <si>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</si>
  <si>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</si>
  <si>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</si>
  <si>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</si>
  <si>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</si>
  <si>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</si>
  <si>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</si>
  <si>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</si>
  <si>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</si>
  <si>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</si>
  <si>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</si>
  <si>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</si>
  <si>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</si>
  <si>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</si>
  <si>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</si>
  <si>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</si>
  <si>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</si>
  <si>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</si>
  <si>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</si>
  <si>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</si>
  <si>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</si>
  <si>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</si>
  <si>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</si>
  <si>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</si>
  <si>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</si>
  <si>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</si>
  <si>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</si>
  <si>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</si>
  <si>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</si>
  <si>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</si>
  <si>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</si>
  <si>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</si>
  <si>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</si>
  <si>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</si>
  <si>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</si>
  <si>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</si>
  <si>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</si>
  <si>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</si>
  <si>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</si>
  <si>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</si>
  <si>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</si>
  <si>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</si>
  <si>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</si>
  <si>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</si>
  <si>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</si>
  <si>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</si>
  <si>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</si>
  <si>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</si>
  <si>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</si>
  <si>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</si>
  <si>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</si>
  <si>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</si>
  <si>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</si>
  <si>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</si>
  <si>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</si>
  <si>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</si>
  <si>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</si>
  <si>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</si>
  <si>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</si>
  <si>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</si>
  <si>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</si>
  <si>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</si>
  <si>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</si>
  <si>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</si>
  <si>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</si>
  <si>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</si>
  <si>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</si>
  <si>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</si>
  <si>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</si>
  <si>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</si>
  <si>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</si>
  <si>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</si>
  <si>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</si>
  <si>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</si>
  <si>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</si>
  <si>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</si>
  <si>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</si>
  <si>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</si>
  <si>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</si>
  <si>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</si>
  <si>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</si>
  <si>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</si>
  <si>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</si>
  <si>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</si>
  <si>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</si>
  <si>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</si>
  <si>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</si>
  <si>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</si>
  <si>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</si>
  <si>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</si>
  <si>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</si>
  <si>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</si>
  <si>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</si>
  <si>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</si>
  <si>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</si>
  <si>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</si>
  <si>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</si>
  <si>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</si>
  <si>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</si>
  <si>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</si>
  <si>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</si>
  <si>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</si>
  <si>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</si>
  <si>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</si>
  <si>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</si>
  <si>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</si>
  <si>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</si>
  <si>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</si>
  <si>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</si>
  <si>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</si>
  <si>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</si>
  <si>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</si>
  <si>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</si>
  <si>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</si>
  <si>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</si>
  <si>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</si>
  <si>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</si>
  <si>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</si>
  <si>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</si>
  <si>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</si>
  <si>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</si>
  <si>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</si>
  <si>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</si>
  <si>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</si>
  <si>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</si>
  <si>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</si>
  <si>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</si>
  <si>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</si>
  <si>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</si>
  <si>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</si>
  <si>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</si>
  <si>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</si>
  <si>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</si>
  <si>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</si>
  <si>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БУЛГАР ЧЕХ ИНВЕСТ ХОЛДИНГ АД</t>
  </si>
  <si>
    <t>120054800</t>
  </si>
  <si>
    <t>КРАСИМИР ДИМИТРОВ</t>
  </si>
  <si>
    <t>ИЗПЪЛНИТЕЛЕН ДИРЕКТОР</t>
  </si>
  <si>
    <t>0884322083</t>
  </si>
  <si>
    <t>office@bcihsm.com</t>
  </si>
  <si>
    <t>http://bcihsm.com</t>
  </si>
  <si>
    <t>СЧЕТОВОДИТЕЛ</t>
  </si>
  <si>
    <t>1 Юг Маркет ЕАД</t>
  </si>
  <si>
    <t>2 Юг Маркет Фонд Мениджмънт ЕАД</t>
  </si>
  <si>
    <t>1 ДРУГИ</t>
  </si>
  <si>
    <t>ПРАЙМ БИЗНЕС КОНСУЛТИНГ АД</t>
  </si>
  <si>
    <t>ГР. ПЛОВДИВ, Р-Н СЕВЕРЕН, УЛ. КОЛЮ ФИЧЕТО № 7-А, ЕТ. 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</si>
</sst>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45199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45215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ПРАЙМ БИЗНЕС КОНСУЛТИНГ АД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1001</v>
      </c>
    </row>
    <row r="20" spans="1:2" ht="31.5">
      <c r="A20" s="7" t="s">
        <v>5</v>
      </c>
      <c r="B20" s="577" t="s">
        <v>1001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28133</v>
      </c>
      <c r="D6" s="675">
        <f aca="true" t="shared" si="0" ref="D6:D15">C6-E6</f>
        <v>0</v>
      </c>
      <c r="E6" s="674">
        <f>'1-Баланс'!G95</f>
        <v>28133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4709</v>
      </c>
      <c r="D7" s="675">
        <f t="shared" si="0"/>
        <v>3518</v>
      </c>
      <c r="E7" s="674">
        <f>'1-Баланс'!G18</f>
        <v>1191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17</v>
      </c>
      <c r="D8" s="675">
        <f t="shared" si="0"/>
        <v>0</v>
      </c>
      <c r="E8" s="674">
        <f>ABS('2-Отчет за доходите'!C44)-ABS('2-Отчет за доходите'!G44)</f>
        <v>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</v>
      </c>
      <c r="D9" s="675">
        <f t="shared" si="0"/>
        <v>0</v>
      </c>
      <c r="E9" s="674">
        <f>'3-Отчет за паричния поток'!C45</f>
        <v>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37</v>
      </c>
      <c r="D10" s="675">
        <f t="shared" si="0"/>
        <v>0</v>
      </c>
      <c r="E10" s="674">
        <f>'3-Отчет за паричния поток'!C46</f>
        <v>37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4709</v>
      </c>
      <c r="D11" s="675">
        <f t="shared" si="0"/>
        <v>0</v>
      </c>
      <c r="E11" s="674">
        <f>'4-Отчет за собствения капитал'!L34</f>
        <v>4709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3171</v>
      </c>
      <c r="D12" s="675">
        <f t="shared" si="0"/>
        <v>0</v>
      </c>
      <c r="E12" s="674">
        <f>'Справка 5'!C27+'Справка 5'!C97</f>
        <v>3171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8</v>
      </c>
      <c r="D15" s="675">
        <f t="shared" si="0"/>
        <v>-7202</v>
      </c>
      <c r="E15" s="674">
        <f>'Справка 5'!C148+'Справка 5'!C78</f>
        <v>7210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0.11643835616438356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0.0036101083032490976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0.0007257513661202186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0.0006042725624711194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1.0149384885764499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2.8382282137698605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2.8275156475686085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0.8722917669715936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0.004453538757823785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0.1254295532646048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0.005189634948281378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0.7624716267339218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4.974304523253345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0.8326165001954999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773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0.16415374814185602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0.6744588744588744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30.069319640564828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354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810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810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3179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3171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3179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210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4553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273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2831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13122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16244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1767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1767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5443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7210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89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23580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28133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3421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3451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3438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4709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15060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15060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56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15116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4511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3797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3786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8308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8308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28133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185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49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60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57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301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756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80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837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1138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1138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1155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146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146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630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13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366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1009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1155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1155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-101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-69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-175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-876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-239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493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639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-4558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6702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13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600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2774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2877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-4938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-506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-2571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3451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3451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3468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3468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4692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4692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4709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4709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288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828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828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3179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3171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8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3179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4295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288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828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828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3179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3171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8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3179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4295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84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84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18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18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354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828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828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3179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3171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8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3179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4361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11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11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11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6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6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6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17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17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17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1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1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1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18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18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18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354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810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810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3179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3171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8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3179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4343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299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299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299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273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2831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13122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16244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16543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89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89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89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273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2831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13122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16244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16333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210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210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210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210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19363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19363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56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208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208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3793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3786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4005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23424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4303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4303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208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208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3793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3786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4005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8308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15060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15060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56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15116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1802000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8557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1810557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1807816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61767.84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1869583.84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3171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3179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6108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811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6919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279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80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359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63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5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68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3171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3179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6324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886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7210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3171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7210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10381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7038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7038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3171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172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3343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1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354</v>
      </c>
      <c r="D21" s="477">
        <v>288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810</v>
      </c>
      <c r="D27" s="196">
        <v>816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810</v>
      </c>
      <c r="D28" s="598">
        <f>SUM(D24:D27)</f>
        <v>816</v>
      </c>
      <c r="E28" s="202" t="s">
        <v>84</v>
      </c>
      <c r="F28" s="93" t="s">
        <v>85</v>
      </c>
      <c r="G28" s="595">
        <f>SUM(G29:G31)</f>
        <v>3421</v>
      </c>
      <c r="H28" s="596">
        <f>SUM(H29:H31)</f>
        <v>3035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3451</v>
      </c>
      <c r="H29" s="196">
        <v>3065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</v>
      </c>
      <c r="H32" s="196">
        <v>386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3438</v>
      </c>
      <c r="H34" s="598">
        <f>H28+H32+H33</f>
        <v>3421</v>
      </c>
    </row>
    <row r="35" spans="1:8" ht="15.75">
      <c r="A35" s="89" t="s">
        <v>106</v>
      </c>
      <c r="B35" s="94" t="s">
        <v>107</v>
      </c>
      <c r="C35" s="595">
        <f>SUM(C36:C39)</f>
        <v>3179</v>
      </c>
      <c r="D35" s="596">
        <f>SUM(D36:D39)</f>
        <v>3179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3171</v>
      </c>
      <c r="D36" s="196">
        <v>3171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4709</v>
      </c>
      <c r="H37" s="600">
        <f>H26+H18+H34</f>
        <v>4692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3179</v>
      </c>
      <c r="D46" s="598">
        <f>D35+D40+D45</f>
        <v>3179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15060</v>
      </c>
      <c r="H48" s="196">
        <v>17211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15060</v>
      </c>
      <c r="H50" s="596">
        <f>SUM(H44:H49)</f>
        <v>17211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210</v>
      </c>
      <c r="D54" s="479">
        <v>277</v>
      </c>
      <c r="E54" s="89" t="s">
        <v>164</v>
      </c>
      <c r="F54" s="95" t="s">
        <v>165</v>
      </c>
      <c r="G54" s="197">
        <v>56</v>
      </c>
      <c r="H54" s="196">
        <v>56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4553</v>
      </c>
      <c r="D56" s="602">
        <f>D20+D21+D22+D28+D33+D46+D52+D54+D55</f>
        <v>4560</v>
      </c>
      <c r="E56" s="100" t="s">
        <v>850</v>
      </c>
      <c r="F56" s="99" t="s">
        <v>172</v>
      </c>
      <c r="G56" s="599">
        <f>G50+G52+G53+G54+G55</f>
        <v>15116</v>
      </c>
      <c r="H56" s="600">
        <f>H50+H52+H53+H54+H55</f>
        <v>17267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4511</v>
      </c>
      <c r="H60" s="196">
        <v>4313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3797</v>
      </c>
      <c r="H61" s="596">
        <f>SUM(H62:H68)</f>
        <v>3959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7">
        <v>11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3786</v>
      </c>
      <c r="H63" s="197">
        <v>3936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7">
        <v>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12</v>
      </c>
      <c r="D68" s="196">
        <v>12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273</v>
      </c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2831</v>
      </c>
      <c r="D70" s="196">
        <v>1043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13122</v>
      </c>
      <c r="D71" s="196">
        <v>17714</v>
      </c>
      <c r="E71" s="474" t="s">
        <v>47</v>
      </c>
      <c r="F71" s="95" t="s">
        <v>223</v>
      </c>
      <c r="G71" s="597">
        <f>G59+G60+G61+G69+G70</f>
        <v>8308</v>
      </c>
      <c r="H71" s="598">
        <f>H59+H60+H61+H69+H70</f>
        <v>8272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16244</v>
      </c>
      <c r="D76" s="598">
        <f>SUM(D68:D75)</f>
        <v>18775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1767</v>
      </c>
      <c r="D79" s="596">
        <f>SUM(D80:D82)</f>
        <v>1586</v>
      </c>
      <c r="E79" s="205" t="s">
        <v>849</v>
      </c>
      <c r="F79" s="99" t="s">
        <v>241</v>
      </c>
      <c r="G79" s="599">
        <f>G71+G73+G75+G77</f>
        <v>8308</v>
      </c>
      <c r="H79" s="600">
        <f>H71+H73+H75+H77</f>
        <v>8272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1767</v>
      </c>
      <c r="D82" s="196">
        <v>1586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5443</v>
      </c>
      <c r="D84" s="196">
        <v>5212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7210</v>
      </c>
      <c r="D85" s="598">
        <f>D84+D83+D79</f>
        <v>6798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</v>
      </c>
      <c r="D92" s="598">
        <f>SUM(D88:D91)</f>
        <v>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89</v>
      </c>
      <c r="D93" s="479">
        <v>89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23580</v>
      </c>
      <c r="D94" s="602">
        <f>D65+D76+D85+D92+D93</f>
        <v>25671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28133</v>
      </c>
      <c r="D95" s="604">
        <f>D94+D56</f>
        <v>30231</v>
      </c>
      <c r="E95" s="229" t="s">
        <v>941</v>
      </c>
      <c r="F95" s="489" t="s">
        <v>268</v>
      </c>
      <c r="G95" s="603">
        <f>G37+G40+G56+G79</f>
        <v>28133</v>
      </c>
      <c r="H95" s="604">
        <f>H37+H40+H56+H79</f>
        <v>30231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45215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ПРАЙМ БИЗНЕС КОНСУЛТИНГ АД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185</v>
      </c>
      <c r="D13" s="317">
        <v>200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</v>
      </c>
      <c r="D14" s="317">
        <v>6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49</v>
      </c>
      <c r="D15" s="317">
        <v>65</v>
      </c>
      <c r="E15" s="245" t="s">
        <v>79</v>
      </c>
      <c r="F15" s="240" t="s">
        <v>289</v>
      </c>
      <c r="G15" s="316">
        <v>146</v>
      </c>
      <c r="H15" s="317">
        <v>56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4</v>
      </c>
      <c r="E16" s="236" t="s">
        <v>52</v>
      </c>
      <c r="F16" s="264" t="s">
        <v>292</v>
      </c>
      <c r="G16" s="628">
        <f>SUM(G12:G15)</f>
        <v>146</v>
      </c>
      <c r="H16" s="629">
        <f>SUM(H12:H15)</f>
        <v>56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60</v>
      </c>
      <c r="D19" s="317">
        <v>79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57</v>
      </c>
      <c r="D20" s="317">
        <v>53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301</v>
      </c>
      <c r="D22" s="629">
        <f>SUM(D12:D18)+D19</f>
        <v>354</v>
      </c>
      <c r="E22" s="194" t="s">
        <v>309</v>
      </c>
      <c r="F22" s="237" t="s">
        <v>310</v>
      </c>
      <c r="G22" s="316">
        <v>630</v>
      </c>
      <c r="H22" s="317">
        <v>678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13</v>
      </c>
      <c r="H23" s="317">
        <v>238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366</v>
      </c>
      <c r="H24" s="317">
        <v>283</v>
      </c>
    </row>
    <row r="25" spans="1:8" ht="31.5">
      <c r="A25" s="194" t="s">
        <v>316</v>
      </c>
      <c r="B25" s="237" t="s">
        <v>317</v>
      </c>
      <c r="C25" s="316">
        <v>756</v>
      </c>
      <c r="D25" s="317">
        <v>745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80</v>
      </c>
      <c r="D26" s="317">
        <v>63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1009</v>
      </c>
      <c r="H27" s="629">
        <f>SUM(H22:H26)</f>
        <v>1199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837</v>
      </c>
      <c r="D29" s="629">
        <f>SUM(D25:D28)</f>
        <v>809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1138</v>
      </c>
      <c r="D31" s="635">
        <f>D29+D22</f>
        <v>1163</v>
      </c>
      <c r="E31" s="251" t="s">
        <v>824</v>
      </c>
      <c r="F31" s="266" t="s">
        <v>331</v>
      </c>
      <c r="G31" s="253">
        <f>G16+G18+G27</f>
        <v>1155</v>
      </c>
      <c r="H31" s="254">
        <f>H16+H18+H27</f>
        <v>1255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</v>
      </c>
      <c r="D33" s="244">
        <f>IF((H31-D31)&gt;0,H31-D31,0)</f>
        <v>92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1138</v>
      </c>
      <c r="D36" s="637">
        <f>D31-D34+D35</f>
        <v>1163</v>
      </c>
      <c r="E36" s="262" t="s">
        <v>346</v>
      </c>
      <c r="F36" s="256" t="s">
        <v>347</v>
      </c>
      <c r="G36" s="267">
        <f>G35-G34+G31</f>
        <v>1155</v>
      </c>
      <c r="H36" s="268">
        <f>H35-H34+H31</f>
        <v>1255</v>
      </c>
    </row>
    <row r="37" spans="1:8" ht="15.75">
      <c r="A37" s="261" t="s">
        <v>348</v>
      </c>
      <c r="B37" s="231" t="s">
        <v>349</v>
      </c>
      <c r="C37" s="634">
        <f>IF((G36-C36)&gt;0,G36-C36,0)</f>
        <v>17</v>
      </c>
      <c r="D37" s="635">
        <f>IF((H36-D36)&gt;0,H36-D36,0)</f>
        <v>92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</v>
      </c>
      <c r="D42" s="244">
        <f>+IF((H36-D36-D38)&gt;0,H36-D36-D38,0)</f>
        <v>92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</v>
      </c>
      <c r="D44" s="268">
        <f>IF(H42=0,IF(D42-D43&gt;0,D42-D43+H43,0),IF(H42-H43&lt;0,H43-H42+D42,0))</f>
        <v>92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1155</v>
      </c>
      <c r="D45" s="631">
        <f>D36+D38+D42</f>
        <v>1255</v>
      </c>
      <c r="E45" s="270" t="s">
        <v>373</v>
      </c>
      <c r="F45" s="272" t="s">
        <v>374</v>
      </c>
      <c r="G45" s="630">
        <f>G42+G36</f>
        <v>1155</v>
      </c>
      <c r="H45" s="631">
        <f>H42+H36</f>
        <v>1255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45215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ПРАЙМ БИЗНЕС КОНСУЛТИНГ АД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f>-977+876</f>
        <v>-101</v>
      </c>
      <c r="D12" s="196">
        <v>-136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-69</v>
      </c>
      <c r="D14" s="196">
        <v>-65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>
        <v>-9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-175</v>
      </c>
      <c r="D21" s="659">
        <f>SUM(D11:D20)</f>
        <v>-210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-876</v>
      </c>
      <c r="D23" s="196">
        <v>-1200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-239</v>
      </c>
      <c r="D25" s="196">
        <v>-263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493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639</v>
      </c>
      <c r="D27" s="196">
        <v>313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-4558</v>
      </c>
      <c r="D28" s="196">
        <v>-3763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6715-13</f>
        <v>6702</v>
      </c>
      <c r="D29" s="196">
        <v>4965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13</v>
      </c>
      <c r="D30" s="196">
        <v>238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600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2774</v>
      </c>
      <c r="D33" s="659">
        <f>SUM(D23:D32)</f>
        <v>290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2877</v>
      </c>
      <c r="D37" s="196">
        <v>2745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-4938</v>
      </c>
      <c r="D38" s="196">
        <v>-2367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-506</v>
      </c>
      <c r="D40" s="196">
        <v>-501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-2571</v>
      </c>
      <c r="D43" s="661">
        <f>SUM(D35:D42)</f>
        <v>-125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-45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45215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ПРАЙМ БИЗНЕС КОНСУЛТИНГ АД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3451</v>
      </c>
      <c r="J13" s="584">
        <f>'1-Баланс'!H30+'1-Баланс'!H33</f>
        <v>-30</v>
      </c>
      <c r="K13" s="585"/>
      <c r="L13" s="584">
        <f>SUM(C13:K13)</f>
        <v>4692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3451</v>
      </c>
      <c r="J17" s="653">
        <f t="shared" si="2"/>
        <v>-30</v>
      </c>
      <c r="K17" s="653">
        <f t="shared" si="2"/>
        <v>0</v>
      </c>
      <c r="L17" s="584">
        <f t="shared" si="1"/>
        <v>4692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</v>
      </c>
      <c r="J18" s="584">
        <f>+'1-Баланс'!G33</f>
        <v>0</v>
      </c>
      <c r="K18" s="585"/>
      <c r="L18" s="584">
        <f t="shared" si="1"/>
        <v>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3468</v>
      </c>
      <c r="J31" s="653">
        <f t="shared" si="6"/>
        <v>-30</v>
      </c>
      <c r="K31" s="653">
        <f t="shared" si="6"/>
        <v>0</v>
      </c>
      <c r="L31" s="584">
        <f t="shared" si="1"/>
        <v>4709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3468</v>
      </c>
      <c r="J34" s="587">
        <f t="shared" si="7"/>
        <v>-30</v>
      </c>
      <c r="K34" s="587">
        <f t="shared" si="7"/>
        <v>0</v>
      </c>
      <c r="L34" s="651">
        <f t="shared" si="1"/>
        <v>4709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45215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ПРАЙМ БИЗНЕС КОНСУЛТИНГ АД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C63" sqref="C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2554</v>
      </c>
      <c r="D12" s="92">
        <v>100</v>
      </c>
      <c r="E12" s="92"/>
      <c r="F12" s="469">
        <f>C12-E12</f>
        <v>2554</v>
      </c>
    </row>
    <row r="13" spans="1:6" ht="15.75">
      <c r="A13" s="679" t="s">
        <v>998</v>
      </c>
      <c r="B13" s="680"/>
      <c r="C13" s="92">
        <v>617</v>
      </c>
      <c r="D13" s="92">
        <v>100</v>
      </c>
      <c r="E13" s="92"/>
      <c r="F13" s="469">
        <f aca="true" t="shared" si="0" ref="F13:F26">C13-E13</f>
        <v>617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3171</v>
      </c>
      <c r="D27" s="472"/>
      <c r="E27" s="472">
        <f>SUM(E12:E26)</f>
        <v>0</v>
      </c>
      <c r="F27" s="472">
        <f>SUM(F12:F26)</f>
        <v>3171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999</v>
      </c>
      <c r="B63" s="680"/>
      <c r="C63" s="92">
        <v>7210</v>
      </c>
      <c r="D63" s="701"/>
      <c r="E63" s="92">
        <v>7038</v>
      </c>
      <c r="F63" s="469">
        <f>C63-E63</f>
        <v>172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7210</v>
      </c>
      <c r="D78" s="472"/>
      <c r="E78" s="472">
        <f>SUM(E63:E77)</f>
        <v>7038</v>
      </c>
      <c r="F78" s="472">
        <f>SUM(F63:F77)</f>
        <v>172</v>
      </c>
    </row>
    <row r="79" spans="1:6" ht="15.75">
      <c r="A79" s="513" t="s">
        <v>801</v>
      </c>
      <c r="B79" s="510" t="s">
        <v>802</v>
      </c>
      <c r="C79" s="472">
        <f>C78+C61+C44+C27</f>
        <v>10381</v>
      </c>
      <c r="D79" s="472"/>
      <c r="E79" s="472">
        <f>E78+E61+E44+E27</f>
        <v>7038</v>
      </c>
      <c r="F79" s="472">
        <f>F78+F61+F44+F27</f>
        <v>3343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45215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ПРАЙМ БИЗНЕС КОНСУЛТИНГ АД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80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288</v>
      </c>
      <c r="E20" s="328"/>
      <c r="F20" s="328"/>
      <c r="G20" s="329">
        <f t="shared" si="2"/>
        <v>288</v>
      </c>
      <c r="H20" s="328">
        <v>84</v>
      </c>
      <c r="I20" s="328">
        <v>18</v>
      </c>
      <c r="J20" s="329">
        <f t="shared" si="3"/>
        <v>354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354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828</v>
      </c>
      <c r="E27" s="328"/>
      <c r="F27" s="328"/>
      <c r="G27" s="329">
        <f t="shared" si="2"/>
        <v>828</v>
      </c>
      <c r="H27" s="328"/>
      <c r="I27" s="328"/>
      <c r="J27" s="329">
        <f t="shared" si="3"/>
        <v>828</v>
      </c>
      <c r="K27" s="328">
        <v>11</v>
      </c>
      <c r="L27" s="328">
        <v>6</v>
      </c>
      <c r="M27" s="328"/>
      <c r="N27" s="329">
        <f t="shared" si="4"/>
        <v>17</v>
      </c>
      <c r="O27" s="328">
        <v>1</v>
      </c>
      <c r="P27" s="328"/>
      <c r="Q27" s="329">
        <f t="shared" si="0"/>
        <v>18</v>
      </c>
      <c r="R27" s="340">
        <f t="shared" si="1"/>
        <v>810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828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828</v>
      </c>
      <c r="H28" s="332">
        <f t="shared" si="5"/>
        <v>0</v>
      </c>
      <c r="I28" s="332">
        <f t="shared" si="5"/>
        <v>0</v>
      </c>
      <c r="J28" s="333">
        <f t="shared" si="3"/>
        <v>828</v>
      </c>
      <c r="K28" s="332">
        <f t="shared" si="5"/>
        <v>11</v>
      </c>
      <c r="L28" s="332">
        <f t="shared" si="5"/>
        <v>6</v>
      </c>
      <c r="M28" s="332">
        <f t="shared" si="5"/>
        <v>0</v>
      </c>
      <c r="N28" s="333">
        <f t="shared" si="4"/>
        <v>17</v>
      </c>
      <c r="O28" s="332">
        <f t="shared" si="5"/>
        <v>1</v>
      </c>
      <c r="P28" s="332">
        <f t="shared" si="5"/>
        <v>0</v>
      </c>
      <c r="Q28" s="333">
        <f t="shared" si="0"/>
        <v>18</v>
      </c>
      <c r="R28" s="343">
        <f t="shared" si="1"/>
        <v>810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3179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3179</v>
      </c>
      <c r="H30" s="335">
        <f t="shared" si="6"/>
        <v>0</v>
      </c>
      <c r="I30" s="335">
        <f t="shared" si="6"/>
        <v>0</v>
      </c>
      <c r="J30" s="336">
        <f t="shared" si="3"/>
        <v>3179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3179</v>
      </c>
    </row>
    <row r="31" spans="1:18" ht="15.75">
      <c r="A31" s="339"/>
      <c r="B31" s="321" t="s">
        <v>108</v>
      </c>
      <c r="C31" s="152" t="s">
        <v>563</v>
      </c>
      <c r="D31" s="328">
        <v>3171</v>
      </c>
      <c r="E31" s="328"/>
      <c r="F31" s="328"/>
      <c r="G31" s="329">
        <f t="shared" si="2"/>
        <v>3171</v>
      </c>
      <c r="H31" s="328"/>
      <c r="I31" s="328"/>
      <c r="J31" s="329">
        <f t="shared" si="3"/>
        <v>3171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3171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8</v>
      </c>
      <c r="E34" s="328"/>
      <c r="F34" s="328"/>
      <c r="G34" s="329">
        <f t="shared" si="2"/>
        <v>8</v>
      </c>
      <c r="H34" s="328"/>
      <c r="I34" s="328"/>
      <c r="J34" s="329">
        <f t="shared" si="3"/>
        <v>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3179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3179</v>
      </c>
      <c r="H41" s="330">
        <f t="shared" si="10"/>
        <v>0</v>
      </c>
      <c r="I41" s="330">
        <f t="shared" si="10"/>
        <v>0</v>
      </c>
      <c r="J41" s="329">
        <f t="shared" si="3"/>
        <v>3179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3179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4295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4295</v>
      </c>
      <c r="H43" s="349">
        <f t="shared" si="11"/>
        <v>84</v>
      </c>
      <c r="I43" s="349">
        <f t="shared" si="11"/>
        <v>18</v>
      </c>
      <c r="J43" s="349">
        <f t="shared" si="11"/>
        <v>4361</v>
      </c>
      <c r="K43" s="349">
        <f t="shared" si="11"/>
        <v>11</v>
      </c>
      <c r="L43" s="349">
        <f t="shared" si="11"/>
        <v>6</v>
      </c>
      <c r="M43" s="349">
        <f t="shared" si="11"/>
        <v>0</v>
      </c>
      <c r="N43" s="349">
        <f t="shared" si="11"/>
        <v>17</v>
      </c>
      <c r="O43" s="349">
        <f t="shared" si="11"/>
        <v>1</v>
      </c>
      <c r="P43" s="349">
        <f t="shared" si="11"/>
        <v>0</v>
      </c>
      <c r="Q43" s="349">
        <f t="shared" si="11"/>
        <v>18</v>
      </c>
      <c r="R43" s="350">
        <f t="shared" si="11"/>
        <v>4343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45215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ПРАЙМ БИЗНЕС КОНСУЛТИНГ АД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88" sqref="C88: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299</v>
      </c>
      <c r="D18" s="362">
        <f>+D19+D20</f>
        <v>89</v>
      </c>
      <c r="E18" s="369">
        <f t="shared" si="0"/>
        <v>210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299</v>
      </c>
      <c r="D20" s="368">
        <v>89</v>
      </c>
      <c r="E20" s="369">
        <f t="shared" si="0"/>
        <v>210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299</v>
      </c>
      <c r="D21" s="440">
        <f>D13+D17+D18</f>
        <v>89</v>
      </c>
      <c r="E21" s="441">
        <f>E13+E17+E18</f>
        <v>210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</v>
      </c>
      <c r="D26" s="362">
        <f>SUM(D27:D29)</f>
        <v>12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</v>
      </c>
      <c r="D29" s="368">
        <v>12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273</v>
      </c>
      <c r="D30" s="368">
        <v>273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2831</v>
      </c>
      <c r="D31" s="368">
        <v>2831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13122</v>
      </c>
      <c r="D32" s="368">
        <v>13122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16244</v>
      </c>
      <c r="D45" s="438">
        <f>D26+D30+D31+D33+D32+D34+D35+D40</f>
        <v>16244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16543</v>
      </c>
      <c r="D46" s="444">
        <f>D45+D23+D21+D11</f>
        <v>16333</v>
      </c>
      <c r="E46" s="445">
        <f>E45+E23+E21+E11</f>
        <v>210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19363</v>
      </c>
      <c r="D65" s="197">
        <v>4303</v>
      </c>
      <c r="E65" s="136">
        <f t="shared" si="1"/>
        <v>15060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19363</v>
      </c>
      <c r="D68" s="435">
        <f>D54+D58+D63+D64+D65+D66</f>
        <v>4303</v>
      </c>
      <c r="E68" s="436">
        <f t="shared" si="1"/>
        <v>15060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56</v>
      </c>
      <c r="D70" s="197"/>
      <c r="E70" s="136">
        <f t="shared" si="1"/>
        <v>56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</v>
      </c>
      <c r="D76" s="197">
        <v>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208</v>
      </c>
      <c r="D82" s="138">
        <f>SUM(D83:D86)</f>
        <v>208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208</v>
      </c>
      <c r="D84" s="197">
        <v>208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3793</v>
      </c>
      <c r="D87" s="134">
        <f>SUM(D88:D92)+D96</f>
        <v>3793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3786</v>
      </c>
      <c r="D88" s="197">
        <v>3786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4005</v>
      </c>
      <c r="D98" s="433">
        <f>D87+D82+D77+D73+D97</f>
        <v>4005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23424</v>
      </c>
      <c r="D99" s="427">
        <f>D98+D70+D68</f>
        <v>8308</v>
      </c>
      <c r="E99" s="427">
        <f>E98+E70+E68</f>
        <v>15116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45215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ПРАЙМ БИЗНЕС КОНСУЛТИНГ АД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H33" sqref="H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1552000+250000</f>
        <v>1802000</v>
      </c>
      <c r="D13" s="449"/>
      <c r="E13" s="449"/>
      <c r="F13" s="449">
        <v>3171</v>
      </c>
      <c r="G13" s="449"/>
      <c r="H13" s="449"/>
      <c r="I13" s="450">
        <f>F13+G13-H13</f>
        <v>3171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8557</f>
        <v>8557</v>
      </c>
      <c r="D17" s="449"/>
      <c r="E17" s="449"/>
      <c r="F17" s="449">
        <v>8</v>
      </c>
      <c r="G17" s="449"/>
      <c r="H17" s="449"/>
      <c r="I17" s="450">
        <f t="shared" si="0"/>
        <v>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1810557</v>
      </c>
      <c r="D18" s="456">
        <f t="shared" si="1"/>
        <v>0</v>
      </c>
      <c r="E18" s="456">
        <f t="shared" si="1"/>
        <v>0</v>
      </c>
      <c r="F18" s="456">
        <f t="shared" si="1"/>
        <v>3179</v>
      </c>
      <c r="G18" s="456">
        <f t="shared" si="1"/>
        <v>0</v>
      </c>
      <c r="H18" s="456">
        <f t="shared" si="1"/>
        <v>0</v>
      </c>
      <c r="I18" s="457">
        <f t="shared" si="0"/>
        <v>3179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1807816</v>
      </c>
      <c r="D20" s="449"/>
      <c r="E20" s="449"/>
      <c r="F20" s="449">
        <v>6108</v>
      </c>
      <c r="G20" s="449">
        <v>279</v>
      </c>
      <c r="H20" s="449">
        <v>63</v>
      </c>
      <c r="I20" s="450">
        <f t="shared" si="0"/>
        <v>6324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61767.84</v>
      </c>
      <c r="D26" s="449"/>
      <c r="E26" s="449"/>
      <c r="F26" s="449">
        <v>811</v>
      </c>
      <c r="G26" s="449">
        <v>80</v>
      </c>
      <c r="H26" s="449">
        <v>5</v>
      </c>
      <c r="I26" s="450">
        <f t="shared" si="0"/>
        <v>886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1869583.84</v>
      </c>
      <c r="D27" s="456">
        <f t="shared" si="2"/>
        <v>0</v>
      </c>
      <c r="E27" s="456">
        <f t="shared" si="2"/>
        <v>0</v>
      </c>
      <c r="F27" s="456">
        <f t="shared" si="2"/>
        <v>6919</v>
      </c>
      <c r="G27" s="456">
        <f t="shared" si="2"/>
        <v>359</v>
      </c>
      <c r="H27" s="456">
        <f t="shared" si="2"/>
        <v>68</v>
      </c>
      <c r="I27" s="457">
        <f t="shared" si="0"/>
        <v>7210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45215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ПРАЙМ БИЗНЕС КОНСУЛТИНГ АД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Mitko</cp:lastModifiedBy>
  <cp:lastPrinted>2021-12-10T13:26:48Z</cp:lastPrinted>
  <dcterms:created xsi:type="dcterms:W3CDTF">2006-09-16T00:00:00Z</dcterms:created>
  <dcterms:modified xsi:type="dcterms:W3CDTF">2023-10-18T15:25:29Z</dcterms:modified>
  <cp:category/>
  <cp:version/>
  <cp:contentType/>
  <cp:contentStatus/>
</cp:coreProperties>
</file>