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356" windowWidth="14265" windowHeight="11820" tabRatio="796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<sst xmlns="http://schemas.openxmlformats.org/spreadsheetml/2006/main" count="1058" uniqueCount="873">
  <si>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</si>
  <si>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</si>
  <si>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</si>
  <si>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</si>
  <si>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</si>
  <si>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</si>
  <si>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</si>
  <si>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</si>
  <si>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</si>
  <si>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</si>
  <si>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</si>
  <si>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</si>
  <si>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</si>
  <si>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</si>
  <si>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</si>
  <si>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</si>
  <si>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</si>
  <si>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</si>
  <si>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</si>
  <si>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</si>
  <si>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</si>
  <si>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</si>
  <si>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</si>
  <si>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</si>
  <si>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</si>
  <si>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</si>
  <si>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</si>
  <si>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</si>
  <si>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</si>
  <si>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</si>
  <si>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</si>
  <si>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</si>
  <si>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</si>
  <si>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</si>
  <si>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</si>
  <si>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</si>
  <si>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</si>
  <si>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</si>
  <si>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</si>
  <si>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</si>
  <si>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</si>
  <si>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</si>
  <si>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</si>
  <si>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</si>
  <si>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</si>
  <si>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</si>
  <si>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</si>
  <si>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</si>
  <si>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</si>
  <si>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</si>
  <si>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</si>
  <si>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</si>
  <si>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</si>
  <si>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</si>
  <si>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</si>
  <si>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</si>
  <si>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</si>
  <si>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</si>
  <si>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</si>
  <si>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</si>
  <si>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</si>
  <si>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</si>
  <si>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</si>
  <si>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</si>
  <si>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</si>
  <si>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</si>
  <si>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</si>
  <si>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</si>
  <si>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</si>
  <si>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</si>
  <si>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</si>
  <si>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</si>
  <si>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</si>
  <si>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</si>
  <si>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</si>
  <si>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</si>
  <si>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</si>
  <si>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</si>
  <si>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</si>
  <si>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</si>
  <si>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</si>
  <si>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</si>
  <si>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</si>
  <si>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</si>
  <si>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</si>
  <si>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</si>
  <si>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</si>
  <si>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</si>
  <si>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</si>
  <si>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</si>
  <si>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</si>
  <si>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</si>
  <si>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</si>
  <si>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</si>
  <si>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</si>
  <si>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</si>
  <si>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</si>
  <si>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</si>
  <si>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</si>
  <si>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</si>
  <si>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</si>
  <si>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</si>
  <si>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</si>
  <si>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</si>
  <si>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</si>
  <si>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</si>
  <si>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</si>
  <si>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</si>
  <si>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</si>
  <si>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</si>
  <si>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</si>
  <si>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</si>
  <si>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</si>
  <si>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</si>
  <si>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</si>
  <si>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</si>
  <si>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</si>
  <si>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</si>
  <si>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</si>
  <si>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</si>
  <si>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</si>
  <si>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</si>
  <si>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</si>
  <si>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</si>
  <si>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</si>
  <si>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</si>
  <si>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</si>
  <si>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</si>
  <si>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</si>
  <si>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</si>
  <si>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</si>
  <si>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</si>
  <si>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</si>
  <si>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</si>
  <si>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</si>
  <si>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</si>
  <si>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</si>
  <si>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</si>
  <si>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</si>
  <si>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</si>
  <si>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</si>
  <si>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</si>
  <si>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</si>
  <si>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</si>
  <si>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</si>
  <si>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</si>
  <si>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</si>
  <si>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</si>
  <si>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</si>
  <si>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</si>
  <si>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</si>
  <si>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</si>
  <si>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</si>
  <si>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</si>
  <si>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</si>
  <si>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</si>
  <si>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</si>
  <si>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</si>
  <si>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</si>
  <si>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</si>
  <si>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</si>
  <si>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</si>
  <si>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</si>
  <si>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</si>
  <si>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</si>
  <si>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</si>
  <si>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</si>
  <si>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</si>
  <si>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</si>
  <si>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</si>
  <si>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</si>
  <si>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</si>
  <si>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</si>
  <si>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</si>
  <si>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</si>
  <si>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</si>
  <si>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</si>
  <si>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</si>
  <si>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</si>
  <si>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</si>
  <si>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</si>
  <si>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</si>
  <si>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</si>
  <si>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</si>
  <si>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</si>
  <si>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</si>
  <si>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</si>
  <si>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</si>
  <si>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</si>
  <si>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</si>
  <si>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</si>
  <si>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</si>
  <si>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</si>
  <si>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</si>
  <si>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</si>
  <si>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</si>
  <si>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</si>
  <si>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</si>
  <si>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</si>
  <si>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</si>
  <si>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</si>
  <si>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</si>
  <si>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</si>
  <si>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</si>
  <si>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</si>
  <si>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</si>
  <si>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</si>
  <si>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</si>
  <si>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</si>
  <si>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</si>
  <si>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</si>
  <si>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</si>
  <si>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</si>
  <si>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</si>
  <si>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</si>
  <si>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</si>
  <si>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</si>
  <si>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</si>
  <si>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</si>
  <si>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</si>
  <si>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</si>
  <si>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</si>
  <si>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</si>
  <si>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</si>
  <si>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</si>
  <si>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</si>
  <si>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</si>
  <si>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</si>
  <si>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</si>
  <si>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</si>
  <si>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</si>
  <si>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</si>
  <si>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</si>
  <si>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</si>
  <si>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</si>
  <si>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</si>
  <si>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</si>
  <si>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</si>
  <si>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</si>
  <si>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</si>
  <si>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</si>
  <si>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</si>
  <si>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</si>
  <si>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</si>
  <si>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</si>
  <si>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</si>
  <si>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</si>
  <si>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</si>
  <si>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</si>
  <si>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</si>
  <si>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</si>
  <si>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</si>
  <si>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</si>
  <si>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</si>
  <si>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</si>
  <si>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</si>
  <si>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</si>
  <si>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</si>
  <si>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</si>
  <si>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</si>
  <si>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</si>
  <si>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</si>
  <si>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</si>
  <si>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</si>
  <si>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</si>
  <si>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</si>
  <si>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</si>
  <si>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</si>
  <si>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</si>
  <si>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</si>
  <si>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</si>
  <si>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</si>
  <si>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</si>
  <si>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</si>
  <si>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</si>
  <si>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</si>
  <si>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</si>
  <si>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</si>
  <si>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</si>
  <si>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</si>
  <si>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</si>
  <si>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</si>
  <si>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</si>
  <si>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</si>
  <si>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</si>
  <si>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</si>
  <si>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</si>
  <si>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</si>
  <si>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</si>
  <si>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</si>
  <si>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</si>
  <si>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</si>
  <si>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</si>
  <si>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</si>
  <si>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</si>
  <si>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</si>
  <si>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</si>
  <si>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</si>
  <si>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</si>
  <si>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</si>
  <si>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</si>
  <si>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</si>
  <si>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</si>
  <si>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</si>
  <si>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</si>
  <si>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</si>
  <si>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</si>
  <si>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</si>
  <si>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</si>
  <si>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</si>
  <si>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</si>
  <si>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</si>
  <si>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</si>
  <si>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</si>
  <si>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</si>
  <si>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</si>
  <si>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</si>
  <si>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</si>
  <si>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</si>
  <si>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</si>
  <si>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</si>
  <si>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</si>
  <si>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</si>
  <si>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</si>
  <si>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</si>
  <si>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</si>
  <si>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</si>
  <si>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</si>
  <si>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</si>
  <si>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</si>
  <si>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</si>
  <si>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</si>
  <si>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</si>
  <si>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</si>
  <si>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</si>
  <si>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</si>
  <si>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</si>
  <si>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</si>
  <si>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</si>
  <si>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</si>
  <si>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</si>
  <si>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</si>
  <si>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</si>
  <si>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</si>
  <si>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</si>
  <si>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</si>
  <si>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</si>
  <si>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</si>
  <si>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</si>
  <si>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</si>
  <si>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</si>
  <si>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</si>
  <si>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</si>
  <si>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</si>
  <si>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</si>
  <si>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</si>
  <si>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</si>
  <si>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</si>
  <si>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</si>
  <si>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</si>
  <si>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</si>
  <si>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</si>
  <si>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</si>
  <si>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</si>
  <si>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</si>
  <si>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</si>
  <si>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</si>
  <si>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</si>
  <si>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</si>
  <si>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</si>
  <si>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</si>
  <si>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</si>
  <si>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</si>
  <si>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</si>
  <si>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</si>
  <si>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</si>
  <si>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</si>
  <si>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</si>
  <si>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</si>
  <si>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</si>
  <si>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</si>
  <si>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</si>
  <si>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</si>
  <si>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</si>
  <si>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</si>
  <si>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</si>
  <si>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</si>
  <si>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</si>
  <si>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</si>
  <si>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</si>
  <si>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</si>
  <si>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</si>
  <si>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</si>
  <si>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</si>
  <si>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</si>
  <si>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</si>
  <si>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</si>
  <si>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</si>
  <si>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</si>
  <si>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</si>
  <si>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</si>
  <si>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</si>
  <si>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</si>
  <si>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</si>
  <si>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</si>
  <si>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</si>
  <si>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</si>
  <si>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</si>
  <si>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</si>
  <si>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</si>
  <si>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</si>
  <si>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</si>
  <si>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</si>
  <si>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</si>
  <si>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</si>
  <si>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</si>
  <si>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</si>
  <si>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</si>
  <si>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</si>
  <si>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</si>
  <si>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</si>
  <si>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</si>
  <si>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</si>
  <si>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</si>
  <si>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</si>
  <si>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</si>
  <si>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</si>
  <si>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</si>
  <si>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</si>
  <si>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</si>
  <si>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</si>
  <si>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</si>
  <si>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</si>
  <si>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</si>
  <si>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</si>
  <si>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</si>
  <si>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</si>
  <si>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</si>
  <si>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</si>
  <si>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</si>
  <si>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</si>
  <si>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</si>
  <si>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</si>
  <si>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</si>
  <si>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</si>
  <si>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</si>
  <si>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</si>
  <si>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</si>
  <si>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</si>
  <si>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</si>
  <si>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</si>
  <si>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</si>
  <si>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</si>
  <si>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</si>
  <si>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</si>
  <si>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</si>
  <si>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</si>
  <si>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</si>
  <si>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</si>
  <si>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</si>
  <si>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</si>
  <si>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</si>
  <si>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</si>
  <si>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</si>
  <si>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</si>
  <si>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</si>
  <si>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</si>
  <si>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</si>
  <si>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</si>
  <si>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</si>
  <si>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</si>
  <si>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</si>
  <si>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</si>
  <si>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</si>
  <si>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</si>
  <si>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</si>
  <si>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</si>
  <si>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</si>
  <si>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</si>
  <si>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</si>
  <si>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</si>
  <si>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</si>
  <si>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</si>
  <si>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</si>
  <si>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</si>
  <si>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</si>
  <si>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</si>
  <si>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</si>
  <si>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</si>
  <si>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</si>
  <si>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</si>
  <si>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</si>
  <si>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</si>
  <si>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</si>
  <si>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</si>
  <si>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</si>
  <si>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</si>
  <si>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</si>
  <si>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</si>
  <si>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</si>
  <si>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</si>
  <si>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</si>
  <si>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</si>
  <si>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</si>
  <si>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</si>
  <si>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</si>
  <si>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</si>
  <si>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</si>
  <si>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</si>
  <si>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</si>
  <si>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</si>
  <si>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</si>
  <si>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</si>
  <si>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</si>
  <si>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</si>
  <si>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</si>
  <si>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</si>
  <si>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</si>
  <si>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</si>
  <si>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</si>
  <si>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</si>
  <si>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</si>
  <si>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</si>
  <si>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</si>
  <si>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</si>
  <si>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</si>
  <si>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</si>
  <si>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</si>
  <si>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</si>
  <si>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</si>
  <si>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</si>
  <si>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</si>
  <si>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</si>
  <si>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</si>
  <si>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</si>
  <si>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</si>
  <si>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</si>
  <si>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</si>
  <si>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</si>
  <si>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</si>
  <si>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</si>
  <si>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</si>
  <si>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</si>
  <si>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</si>
  <si>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</si>
  <si>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</si>
  <si>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</si>
  <si>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</si>
  <si>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</si>
  <si>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</si>
  <si>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</si>
  <si>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</si>
  <si>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</si>
  <si>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</si>
  <si>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</si>
  <si>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</si>
  <si>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</si>
  <si>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</si>
  <si>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</si>
  <si>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</si>
  <si>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</si>
  <si>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</si>
  <si>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</si>
  <si>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</si>
  <si>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</si>
  <si>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</si>
  <si>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</si>
  <si>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</si>
  <si>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</si>
  <si>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</si>
  <si>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</si>
  <si>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</si>
  <si>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</si>
  <si>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</si>
  <si>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</si>
  <si>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</si>
  <si>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</si>
  <si>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</si>
  <si>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</si>
  <si>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</si>
  <si>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</si>
  <si>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</si>
  <si>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</si>
  <si>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</si>
  <si>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</si>
  <si>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</si>
  <si>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</si>
  <si>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</si>
  <si>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</si>
  <si>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</si>
  <si>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</si>
  <si>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</si>
  <si>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</si>
  <si>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</si>
  <si>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</si>
  <si>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</si>
  <si>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</si>
  <si>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</si>
  <si>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</si>
  <si>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</si>
  <si>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</si>
  <si>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</si>
  <si>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</si>
  <si>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</si>
  <si>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</si>
  <si>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</si>
  <si>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</si>
  <si>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</si>
  <si>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</si>
  <si>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</si>
  <si>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</si>
  <si>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</si>
  <si>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</si>
  <si>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</si>
  <si>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</si>
  <si>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</si>
  <si>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</si>
  <si>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</si>
  <si>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</si>
  <si>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</si>
  <si>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</si>
  <si>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</si>
  <si>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</si>
  <si>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</si>
  <si>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</si>
  <si>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</si>
  <si>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</si>
  <si>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</si>
  <si>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</si>
  <si>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</si>
  <si>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</si>
  <si>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</si>
  <si>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</si>
  <si>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</si>
  <si>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</si>
  <si>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</si>
  <si>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</si>
  <si>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</si>
  <si>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</si>
  <si>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</si>
  <si>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</si>
  <si>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</si>
  <si>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</si>
  <si>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</si>
  <si>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</si>
  <si>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</si>
  <si>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</si>
  <si>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</si>
  <si>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</si>
  <si>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</si>
  <si>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</si>
  <si>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</si>
  <si>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</si>
  <si>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</si>
  <si>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</si>
  <si>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</si>
  <si>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</si>
  <si>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</si>
  <si>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</si>
  <si>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</si>
  <si>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</si>
  <si>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</si>
  <si>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</si>
  <si>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</si>
  <si>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</si>
  <si>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</si>
  <si>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</si>
  <si>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</si>
  <si>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</si>
  <si>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</si>
  <si>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</si>
  <si>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</si>
  <si>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</si>
  <si>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</si>
  <si>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</si>
  <si>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</si>
  <si>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</si>
  <si>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</si>
  <si>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</si>
  <si>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</si>
  <si>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</si>
  <si>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</si>
  <si>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</si>
  <si>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</si>
  <si>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</si>
  <si>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</si>
  <si>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</si>
  <si>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</si>
  <si>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</si>
  <si>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</si>
  <si>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</si>
  <si>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</si>
  <si>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</si>
  <si>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</si>
  <si>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</si>
  <si>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</si>
  <si>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</si>
  <si>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</si>
  <si>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</si>
  <si>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</si>
  <si>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</si>
  <si>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</si>
  <si>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</si>
  <si>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</si>
  <si>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</si>
  <si>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</si>
  <si>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</si>
  <si>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</si>
  <si>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</si>
  <si>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</si>
  <si>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</si>
  <si>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</si>
  <si>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</si>
  <si>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</si>
  <si>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</si>
  <si>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</si>
  <si>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</si>
  <si>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</si>
  <si>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</si>
  <si>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</si>
  <si>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</si>
  <si>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</si>
  <si>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</si>
  <si>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</si>
  <si>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</si>
  <si>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</si>
  <si>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</si>
  <si>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</si>
  <si>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</si>
  <si>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</si>
  <si>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</si>
  <si>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</si>
  <si>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</si>
  <si>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</si>
  <si>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</si>
  <si>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</si>
  <si>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</si>
  <si>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</si>
  <si>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</si>
  <si>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</si>
  <si>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</si>
  <si>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</si>
  <si>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</si>
  <si>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</si>
  <si>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</si>
  <si>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</si>
  <si>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</si>
  <si>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</si>
  <si>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</si>
  <si>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</si>
  <si>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</si>
  <si>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</si>
  <si>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</si>
  <si>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</si>
  <si>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</si>
  <si>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</si>
  <si>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</si>
  <si>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</si>
  <si>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</si>
  <si>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</si>
  <si>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</si>
  <si>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</si>
  <si>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</si>
  <si>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</si>
  <si>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</si>
  <si>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</si>
  <si>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</si>
  <si>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</si>
  <si>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</si>
  <si>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</si>
  <si>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</si>
  <si>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</si>
  <si>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</si>
  <si>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</si>
  <si>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</si>
  <si>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</si>
  <si>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</si>
  <si>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</si>
  <si>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</si>
  <si>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</si>
  <si>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</si>
  <si>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</si>
  <si>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</si>
  <si>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</si>
  <si>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</si>
  <si>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</si>
  <si>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</si>
  <si>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</si>
  <si>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</si>
  <si>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</si>
  <si>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</si>
  <si>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</si>
  <si>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</si>
  <si>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</si>
  <si>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</si>
  <si>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</si>
  <si>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</si>
  <si>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</si>
  <si>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</si>
  <si>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</si>
  <si>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</si>
  <si>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</si>
  <si>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</si>
  <si>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</si>
  <si>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</si>
  <si>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</si>
  <si>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</si>
  <si>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</si>
  <si>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</si>
  <si>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</si>
  <si>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</si>
  <si>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</si>
  <si>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</si>
  <si>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</si>
  <si>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</si>
  <si>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</si>
  <si>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</si>
  <si>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</si>
  <si>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</si>
  <si>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</si>
  <si>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</si>
  <si>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</si>
  <si>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</si>
  <si>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</si>
  <si>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</si>
  <si>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</si>
  <si>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</si>
  <si>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</si>
  <si>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</si>
  <si>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</si>
  <si>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</si>
  <si>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</si>
  <si>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</si>
  <si>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</si>
  <si>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</si>
  <si>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</si>
  <si>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</si>
  <si>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</si>
  <si>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</si>
  <si>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</si>
  <si>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</si>
  <si>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</si>
  <si>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</si>
  <si>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</si>
  <si>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</si>
  <si>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</si>
  <si>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</si>
  <si>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</si>
  <si>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</si>
  <si>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</si>
  <si>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</si>
  <si>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</si>
  <si>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</si>
  <si>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</si>
  <si>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</si>
  <si>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</si>
  <si>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</si>
  <si>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</si>
  <si>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</si>
  <si>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</si>
  <si>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</si>
  <si>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</si>
  <si>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</si>
  <si>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</si>
  <si>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</si>
  <si>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КОНСОЛИДИРАН</t>
  </si>
  <si>
    <t>Забележка</t>
  </si>
  <si>
    <t xml:space="preserve">Права </t>
  </si>
  <si>
    <t>Дата на съставяне 30.06.2018</t>
  </si>
  <si>
    <t>Дата на съставяне:  30.06.2018</t>
  </si>
  <si>
    <t>Дата  на съставяне:30.06.2018</t>
  </si>
  <si>
    <t>Дата на съставяне:   30.06.2018</t>
  </si>
  <si>
    <t>Дата на съставяне: 30.06.2018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</si>
</sst>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>
      <alignment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11" fillId="0" borderId="14" xfId="61" applyNumberFormat="1" applyFont="1" applyFill="1" applyBorder="1" applyAlignment="1" applyProtection="1">
      <alignment horizontal="left" vertical="center" wrapText="1"/>
      <protection/>
    </xf>
    <xf numFmtId="0" fontId="11" fillId="0" borderId="10" xfId="61" applyFont="1" applyFill="1" applyBorder="1" applyProtection="1">
      <alignment/>
      <protection/>
    </xf>
    <xf numFmtId="0" fontId="11" fillId="0" borderId="0" xfId="62" applyFont="1" applyFill="1">
      <alignment/>
      <protection/>
    </xf>
    <xf numFmtId="0" fontId="58" fillId="0" borderId="0" xfId="0" applyFont="1" applyBorder="1" applyAlignment="1">
      <alignment horizontal="right" vertical="center" wrapText="1"/>
    </xf>
    <xf numFmtId="0" fontId="21" fillId="0" borderId="0" xfId="62" applyFont="1" applyBorder="1">
      <alignment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left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2" applyNumberFormat="1" applyFont="1" applyAlignme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2">
      <selection activeCell="E57" sqref="E5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384</v>
      </c>
      <c r="B3" s="586"/>
      <c r="C3" s="586"/>
      <c r="D3" s="586"/>
      <c r="E3" s="462" t="s">
        <v>864</v>
      </c>
      <c r="F3" s="217" t="s">
        <v>2</v>
      </c>
      <c r="G3" s="172"/>
      <c r="H3" s="461" t="s">
        <v>159</v>
      </c>
    </row>
    <row r="4" spans="1:8" ht="15">
      <c r="A4" s="585" t="s">
        <v>3</v>
      </c>
      <c r="B4" s="591"/>
      <c r="C4" s="591"/>
      <c r="D4" s="591"/>
      <c r="E4" s="504" t="s">
        <v>865</v>
      </c>
      <c r="F4" s="587" t="s">
        <v>4</v>
      </c>
      <c r="G4" s="588"/>
      <c r="H4" s="461" t="s">
        <v>159</v>
      </c>
    </row>
    <row r="5" spans="1:8" ht="15">
      <c r="A5" s="585" t="s">
        <v>5</v>
      </c>
      <c r="B5" s="586"/>
      <c r="C5" s="586"/>
      <c r="D5" s="586"/>
      <c r="E5" s="505">
        <v>43281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14499</v>
      </c>
      <c r="D11" s="151">
        <v>13902</v>
      </c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>
        <v>8699</v>
      </c>
      <c r="D12" s="151">
        <v>8827</v>
      </c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28805</v>
      </c>
      <c r="D13" s="151">
        <v>29544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2073</v>
      </c>
      <c r="D15" s="151">
        <v>1316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194</v>
      </c>
      <c r="D16" s="151">
        <v>165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1183</v>
      </c>
      <c r="D17" s="151">
        <v>953</v>
      </c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55453</v>
      </c>
      <c r="D19" s="155">
        <f>SUM(D11:D18)</f>
        <v>54707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1095</v>
      </c>
      <c r="D21" s="151">
        <v>277</v>
      </c>
      <c r="E21" s="251" t="s">
        <v>61</v>
      </c>
      <c r="F21" s="242" t="s">
        <v>62</v>
      </c>
      <c r="G21" s="156">
        <f>SUM(G22:G24)</f>
        <v>3806</v>
      </c>
      <c r="H21" s="156">
        <f>SUM(H22:H24)</f>
        <v>3806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3806</v>
      </c>
      <c r="H22" s="152">
        <v>3806</v>
      </c>
    </row>
    <row r="23" spans="1:13" ht="15">
      <c r="A23" s="235" t="s">
        <v>66</v>
      </c>
      <c r="B23" s="241" t="s">
        <v>67</v>
      </c>
      <c r="C23" s="151">
        <v>79</v>
      </c>
      <c r="D23" s="151">
        <v>85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94</v>
      </c>
      <c r="D24" s="151">
        <v>94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3806</v>
      </c>
      <c r="H25" s="154">
        <f>H19+H20+H21</f>
        <v>3806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173</v>
      </c>
      <c r="D27" s="155">
        <f>SUM(D23:D26)</f>
        <v>179</v>
      </c>
      <c r="E27" s="253" t="s">
        <v>83</v>
      </c>
      <c r="F27" s="242" t="s">
        <v>84</v>
      </c>
      <c r="G27" s="154">
        <f>SUM(G28:G30)</f>
        <v>21496</v>
      </c>
      <c r="H27" s="154">
        <f>SUM(H28:H30)</f>
        <v>17918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21496</v>
      </c>
      <c r="H28" s="152">
        <v>17918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3623</v>
      </c>
      <c r="H31" s="152">
        <v>3815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25119</v>
      </c>
      <c r="H33" s="154">
        <f>H27+H31+H32</f>
        <v>21733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69282</v>
      </c>
      <c r="H36" s="154">
        <f>H25+H17+H33</f>
        <v>65896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5306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774</v>
      </c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774</v>
      </c>
      <c r="D51" s="155">
        <f>SUM(D47:D50)</f>
        <v>5306</v>
      </c>
      <c r="E51" s="251" t="s">
        <v>157</v>
      </c>
      <c r="F51" s="245" t="s">
        <v>158</v>
      </c>
      <c r="G51" s="152">
        <v>26</v>
      </c>
      <c r="H51" s="152">
        <v>26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319</v>
      </c>
      <c r="H53" s="152">
        <v>319</v>
      </c>
    </row>
    <row r="54" spans="1:8" ht="15">
      <c r="A54" s="235" t="s">
        <v>166</v>
      </c>
      <c r="B54" s="249" t="s">
        <v>167</v>
      </c>
      <c r="C54" s="151">
        <v>41</v>
      </c>
      <c r="D54" s="151">
        <v>41</v>
      </c>
      <c r="E54" s="237" t="s">
        <v>168</v>
      </c>
      <c r="F54" s="245" t="s">
        <v>169</v>
      </c>
      <c r="G54" s="152">
        <v>170</v>
      </c>
      <c r="H54" s="152">
        <v>210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57536</v>
      </c>
      <c r="D55" s="155">
        <f>D19+D20+D21+D27+D32+D45+D51+D53+D54</f>
        <v>60510</v>
      </c>
      <c r="E55" s="237" t="s">
        <v>172</v>
      </c>
      <c r="F55" s="261" t="s">
        <v>173</v>
      </c>
      <c r="G55" s="154">
        <f>G49+G51+G52+G53+G54</f>
        <v>515</v>
      </c>
      <c r="H55" s="154">
        <f>H49+H51+H52+H53+H54</f>
        <v>555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800</v>
      </c>
      <c r="D58" s="151">
        <v>1535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2521</v>
      </c>
      <c r="D59" s="151">
        <v>3560</v>
      </c>
      <c r="E59" s="251" t="s">
        <v>181</v>
      </c>
      <c r="F59" s="242" t="s">
        <v>182</v>
      </c>
      <c r="G59" s="152">
        <v>30175</v>
      </c>
      <c r="H59" s="152">
        <v>32294</v>
      </c>
      <c r="M59" s="157"/>
    </row>
    <row r="60" spans="1:8" ht="15">
      <c r="A60" s="235" t="s">
        <v>183</v>
      </c>
      <c r="B60" s="241" t="s">
        <v>184</v>
      </c>
      <c r="C60" s="151">
        <v>4552</v>
      </c>
      <c r="D60" s="151">
        <v>11030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10586</v>
      </c>
      <c r="D61" s="151">
        <v>4870</v>
      </c>
      <c r="E61" s="243" t="s">
        <v>189</v>
      </c>
      <c r="F61" s="272" t="s">
        <v>190</v>
      </c>
      <c r="G61" s="154">
        <f>SUM(G62:G68)</f>
        <v>7447</v>
      </c>
      <c r="H61" s="154">
        <f>SUM(H62:H68)</f>
        <v>2401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</v>
      </c>
      <c r="H62" s="152">
        <v>46</v>
      </c>
    </row>
    <row r="63" spans="1:13" ht="15">
      <c r="A63" s="235" t="s">
        <v>195</v>
      </c>
      <c r="B63" s="241" t="s">
        <v>196</v>
      </c>
      <c r="C63" s="151"/>
      <c r="D63" s="151">
        <v>4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18459</v>
      </c>
      <c r="D64" s="155">
        <f>SUM(D58:D63)</f>
        <v>20999</v>
      </c>
      <c r="E64" s="237" t="s">
        <v>200</v>
      </c>
      <c r="F64" s="242" t="s">
        <v>201</v>
      </c>
      <c r="G64" s="152">
        <v>6996</v>
      </c>
      <c r="H64" s="152">
        <v>1713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275</v>
      </c>
      <c r="H66" s="152">
        <v>249</v>
      </c>
    </row>
    <row r="67" spans="1:8" ht="15">
      <c r="A67" s="235" t="s">
        <v>207</v>
      </c>
      <c r="B67" s="241" t="s">
        <v>208</v>
      </c>
      <c r="C67" s="151">
        <v>1787</v>
      </c>
      <c r="D67" s="151">
        <v>1257</v>
      </c>
      <c r="E67" s="237" t="s">
        <v>209</v>
      </c>
      <c r="F67" s="242" t="s">
        <v>210</v>
      </c>
      <c r="G67" s="152">
        <v>98</v>
      </c>
      <c r="H67" s="152">
        <v>142</v>
      </c>
    </row>
    <row r="68" spans="1:8" ht="15">
      <c r="A68" s="235" t="s">
        <v>211</v>
      </c>
      <c r="B68" s="241" t="s">
        <v>212</v>
      </c>
      <c r="C68" s="151">
        <v>21593</v>
      </c>
      <c r="D68" s="151">
        <v>4314</v>
      </c>
      <c r="E68" s="237" t="s">
        <v>213</v>
      </c>
      <c r="F68" s="242" t="s">
        <v>214</v>
      </c>
      <c r="G68" s="152">
        <v>55</v>
      </c>
      <c r="H68" s="152">
        <v>251</v>
      </c>
    </row>
    <row r="69" spans="1:8" ht="15">
      <c r="A69" s="235" t="s">
        <v>215</v>
      </c>
      <c r="B69" s="241" t="s">
        <v>216</v>
      </c>
      <c r="C69" s="151"/>
      <c r="D69" s="151">
        <v>6750</v>
      </c>
      <c r="E69" s="251" t="s">
        <v>78</v>
      </c>
      <c r="F69" s="242" t="s">
        <v>217</v>
      </c>
      <c r="G69" s="152">
        <v>1581</v>
      </c>
      <c r="H69" s="152"/>
    </row>
    <row r="70" spans="1:8" ht="15">
      <c r="A70" s="235" t="s">
        <v>218</v>
      </c>
      <c r="B70" s="241" t="s">
        <v>219</v>
      </c>
      <c r="C70" s="151">
        <v>8445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39203</v>
      </c>
      <c r="H71" s="161">
        <f>H59+H60+H61+H69+H70</f>
        <v>34695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398</v>
      </c>
      <c r="D72" s="151">
        <v>151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694</f>
        <v>694</v>
      </c>
      <c r="D74" s="151">
        <v>166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32917</v>
      </c>
      <c r="D75" s="155">
        <f>SUM(D67:D74)</f>
        <v>12638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78</v>
      </c>
      <c r="H76" s="152">
        <v>78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39281</v>
      </c>
      <c r="H79" s="162">
        <f>H71+H74+H75+H76</f>
        <v>34773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29</v>
      </c>
      <c r="D83" s="151">
        <v>6467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29</v>
      </c>
      <c r="D84" s="155">
        <f>D83+D82+D78</f>
        <v>6467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34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103</v>
      </c>
      <c r="D88" s="151">
        <v>121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137</v>
      </c>
      <c r="D91" s="155">
        <f>SUM(D87:D90)</f>
        <v>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469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51542</v>
      </c>
      <c r="D93" s="155">
        <f>D64+D75+D84+D91+D92</f>
        <v>40714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109078</v>
      </c>
      <c r="D94" s="164">
        <f>D93+D55</f>
        <v>101224</v>
      </c>
      <c r="E94" s="449" t="s">
        <v>270</v>
      </c>
      <c r="F94" s="289" t="s">
        <v>271</v>
      </c>
      <c r="G94" s="165">
        <f>G36+G39+G55+G79</f>
        <v>109078</v>
      </c>
      <c r="H94" s="165">
        <f>H36+H39+H55+H79</f>
        <v>101224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9" t="s">
        <v>273</v>
      </c>
      <c r="D98" s="589"/>
      <c r="E98" s="58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856</v>
      </c>
      <c r="D100" s="590"/>
      <c r="E100" s="59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E37" sqref="E37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4" t="str">
        <f>'справка №1-БАЛАНС'!E3</f>
        <v>БГ  АГРО  АД</v>
      </c>
      <c r="C2" s="594"/>
      <c r="D2" s="594"/>
      <c r="E2" s="594"/>
      <c r="F2" s="596" t="s">
        <v>2</v>
      </c>
      <c r="G2" s="596"/>
      <c r="H2" s="526" t="str">
        <f>'справка №1-БАЛАНС'!H3</f>
        <v> </v>
      </c>
    </row>
    <row r="3" spans="1:8" ht="15">
      <c r="A3" s="467" t="s">
        <v>275</v>
      </c>
      <c r="B3" s="594" t="str">
        <f>'справка №1-БАЛАНС'!E4</f>
        <v>КОНСОЛИДИРАН</v>
      </c>
      <c r="C3" s="594"/>
      <c r="D3" s="594"/>
      <c r="E3" s="594"/>
      <c r="F3" s="545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5">
        <f>'справка №1-БАЛАНС'!E5</f>
        <v>43281</v>
      </c>
      <c r="C4" s="595"/>
      <c r="D4" s="595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3796</v>
      </c>
      <c r="D9" s="46">
        <v>4480</v>
      </c>
      <c r="E9" s="298" t="s">
        <v>285</v>
      </c>
      <c r="F9" s="548" t="s">
        <v>286</v>
      </c>
      <c r="G9" s="549">
        <v>3099</v>
      </c>
      <c r="H9" s="549">
        <v>2206</v>
      </c>
    </row>
    <row r="10" spans="1:8" ht="12">
      <c r="A10" s="298" t="s">
        <v>287</v>
      </c>
      <c r="B10" s="299" t="s">
        <v>288</v>
      </c>
      <c r="C10" s="46">
        <v>4109</v>
      </c>
      <c r="D10" s="46">
        <v>4218</v>
      </c>
      <c r="E10" s="298" t="s">
        <v>289</v>
      </c>
      <c r="F10" s="548" t="s">
        <v>290</v>
      </c>
      <c r="G10" s="549">
        <v>29834</v>
      </c>
      <c r="H10" s="549">
        <v>21118</v>
      </c>
    </row>
    <row r="11" spans="1:8" ht="12">
      <c r="A11" s="298" t="s">
        <v>291</v>
      </c>
      <c r="B11" s="299" t="s">
        <v>292</v>
      </c>
      <c r="C11" s="46">
        <v>1333</v>
      </c>
      <c r="D11" s="46">
        <v>1268</v>
      </c>
      <c r="E11" s="300" t="s">
        <v>293</v>
      </c>
      <c r="F11" s="548" t="s">
        <v>294</v>
      </c>
      <c r="G11" s="549">
        <v>648</v>
      </c>
      <c r="H11" s="549">
        <v>438</v>
      </c>
    </row>
    <row r="12" spans="1:8" ht="12">
      <c r="A12" s="298" t="s">
        <v>295</v>
      </c>
      <c r="B12" s="299" t="s">
        <v>296</v>
      </c>
      <c r="C12" s="46">
        <v>1967</v>
      </c>
      <c r="D12" s="46">
        <v>1833</v>
      </c>
      <c r="E12" s="300" t="s">
        <v>78</v>
      </c>
      <c r="F12" s="548" t="s">
        <v>297</v>
      </c>
      <c r="G12" s="549">
        <f>363+57+110</f>
        <v>530</v>
      </c>
      <c r="H12" s="549">
        <f>523+2</f>
        <v>525</v>
      </c>
    </row>
    <row r="13" spans="1:18" ht="12">
      <c r="A13" s="298" t="s">
        <v>298</v>
      </c>
      <c r="B13" s="299" t="s">
        <v>299</v>
      </c>
      <c r="C13" s="46">
        <v>332</v>
      </c>
      <c r="D13" s="46">
        <v>285</v>
      </c>
      <c r="E13" s="301" t="s">
        <v>51</v>
      </c>
      <c r="F13" s="550" t="s">
        <v>300</v>
      </c>
      <c r="G13" s="547">
        <f>SUM(G9:G12)</f>
        <v>34111</v>
      </c>
      <c r="H13" s="547">
        <f>SUM(H9:H12)</f>
        <v>24287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27131</v>
      </c>
      <c r="D14" s="46">
        <v>19944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-4838</v>
      </c>
      <c r="D15" s="47">
        <v>-6927</v>
      </c>
      <c r="E15" s="296" t="s">
        <v>305</v>
      </c>
      <c r="F15" s="553" t="s">
        <v>306</v>
      </c>
      <c r="G15" s="549">
        <v>3969</v>
      </c>
      <c r="H15" s="549">
        <v>3997</v>
      </c>
    </row>
    <row r="16" spans="1:8" ht="12">
      <c r="A16" s="298" t="s">
        <v>307</v>
      </c>
      <c r="B16" s="299" t="s">
        <v>308</v>
      </c>
      <c r="C16" s="47">
        <v>407</v>
      </c>
      <c r="D16" s="47">
        <v>93</v>
      </c>
      <c r="E16" s="298" t="s">
        <v>309</v>
      </c>
      <c r="F16" s="551" t="s">
        <v>310</v>
      </c>
      <c r="G16" s="554">
        <v>3969</v>
      </c>
      <c r="H16" s="554">
        <v>3997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34237</v>
      </c>
      <c r="D19" s="49">
        <f>SUM(D9:D15)+D16</f>
        <v>25194</v>
      </c>
      <c r="E19" s="304" t="s">
        <v>317</v>
      </c>
      <c r="F19" s="551" t="s">
        <v>318</v>
      </c>
      <c r="G19" s="549">
        <v>224</v>
      </c>
      <c r="H19" s="549">
        <v>163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312</v>
      </c>
      <c r="D22" s="46">
        <v>268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38</v>
      </c>
      <c r="H23" s="549"/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3" t="s">
        <v>334</v>
      </c>
      <c r="G24" s="547">
        <f>SUM(G19:G23)</f>
        <v>262</v>
      </c>
      <c r="H24" s="547">
        <f>SUM(H19:H23)</f>
        <v>163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170</v>
      </c>
      <c r="D25" s="46">
        <v>124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482</v>
      </c>
      <c r="D26" s="49">
        <f>SUM(D22:D25)</f>
        <v>393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34719</v>
      </c>
      <c r="D28" s="50">
        <f>D26+D19</f>
        <v>25587</v>
      </c>
      <c r="E28" s="127" t="s">
        <v>339</v>
      </c>
      <c r="F28" s="553" t="s">
        <v>340</v>
      </c>
      <c r="G28" s="547">
        <f>G13+G15+G24</f>
        <v>38342</v>
      </c>
      <c r="H28" s="547">
        <f>H13+H15+H24</f>
        <v>28447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3623</v>
      </c>
      <c r="D30" s="50">
        <f>IF((H28-D28)&gt;0,H28-D28,0)</f>
        <v>2860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34719</v>
      </c>
      <c r="D33" s="49">
        <f>D28-D31+D32</f>
        <v>25587</v>
      </c>
      <c r="E33" s="127" t="s">
        <v>353</v>
      </c>
      <c r="F33" s="553" t="s">
        <v>354</v>
      </c>
      <c r="G33" s="53">
        <f>G32-G31+G28</f>
        <v>38342</v>
      </c>
      <c r="H33" s="53">
        <f>H32-H31+H28</f>
        <v>28447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3623</v>
      </c>
      <c r="D34" s="50">
        <f>IF((H33-D33)&gt;0,H33-D33,0)</f>
        <v>2860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3623</v>
      </c>
      <c r="D39" s="460">
        <f>+IF((H33-D33-D35)&gt;0,H33-D33-D35,0)</f>
        <v>2860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3623</v>
      </c>
      <c r="D41" s="52">
        <f>IF(H39=0,IF(D39-D40&gt;0,D39-D40+H40,0),IF(H39-H40&lt;0,H40-H39+D39,0))</f>
        <v>2860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38342</v>
      </c>
      <c r="D42" s="53">
        <f>D33+D35+D39</f>
        <v>28447</v>
      </c>
      <c r="E42" s="128" t="s">
        <v>380</v>
      </c>
      <c r="F42" s="129" t="s">
        <v>381</v>
      </c>
      <c r="G42" s="53">
        <f>G39+G33</f>
        <v>38342</v>
      </c>
      <c r="H42" s="53">
        <f>H39+H33</f>
        <v>28447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7" t="s">
        <v>862</v>
      </c>
      <c r="B45" s="597"/>
      <c r="C45" s="597"/>
      <c r="D45" s="597"/>
      <c r="E45" s="59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>
        <v>43281</v>
      </c>
      <c r="C48" s="427" t="s">
        <v>382</v>
      </c>
      <c r="D48" s="592"/>
      <c r="E48" s="592"/>
      <c r="F48" s="592"/>
      <c r="G48" s="592"/>
      <c r="H48" s="59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93"/>
      <c r="E50" s="593"/>
      <c r="F50" s="593"/>
      <c r="G50" s="593"/>
      <c r="H50" s="593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9" right="0.24" top="0.64" bottom="0.984251968503937" header="0.34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">
      <pane xSplit="1" topLeftCell="C1" activePane="topRight" state="frozen"/>
      <selection pane="topLeft" activeCell="A1" sqref="A1"/>
      <selection pane="topRight" activeCell="F3" sqref="F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0" t="s">
        <v>2</v>
      </c>
      <c r="D4" s="540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43281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31213</v>
      </c>
      <c r="D10" s="54">
        <v>19711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-29083</v>
      </c>
      <c r="D11" s="54">
        <v>-23123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-2528</v>
      </c>
      <c r="D13" s="54">
        <v>-2171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460</v>
      </c>
      <c r="D14" s="54">
        <v>821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-120</v>
      </c>
      <c r="D15" s="54">
        <v>-13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29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-28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-57</v>
      </c>
      <c r="D20" s="55">
        <f>SUM(D10:D19)</f>
        <v>-4783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-2944</v>
      </c>
      <c r="D22" s="54">
        <v>-1890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260</v>
      </c>
      <c r="D23" s="54">
        <v>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-3737</v>
      </c>
      <c r="D24" s="54">
        <v>-6734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6968</v>
      </c>
      <c r="D25" s="54">
        <v>3222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64</v>
      </c>
      <c r="D26" s="54">
        <v>37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-1193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-582</v>
      </c>
      <c r="D32" s="55">
        <f>SUM(D22:D31)</f>
        <v>-5363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60096</v>
      </c>
      <c r="D36" s="54">
        <v>36914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-62859</v>
      </c>
      <c r="D37" s="54">
        <v>-30376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-358-173</f>
        <v>-531</v>
      </c>
      <c r="D39" s="54">
        <v>-274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3929</v>
      </c>
      <c r="D41" s="54">
        <f>-122+3959</f>
        <v>3837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635</v>
      </c>
      <c r="D42" s="55">
        <f>SUM(D34:D41)</f>
        <v>10101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</v>
      </c>
      <c r="D43" s="55">
        <f>D42+D32+D20</f>
        <v>-45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141</v>
      </c>
      <c r="D44" s="132">
        <v>125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137</v>
      </c>
      <c r="D45" s="55">
        <f>D44+D43</f>
        <v>80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137</v>
      </c>
      <c r="D46" s="56">
        <v>80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8"/>
      <c r="D50" s="59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8"/>
      <c r="D52" s="59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51" header="0.1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">
      <pane xSplit="1" topLeftCell="J1" activePane="topRight" state="frozen"/>
      <selection pane="topLeft" activeCell="A38" sqref="A38"/>
      <selection pane="topRight" activeCell="I14" sqref="I14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9" t="s">
        <v>460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1" t="str">
        <f>'справка №1-БАЛАНС'!E3</f>
        <v>БГ  АГРО  АД</v>
      </c>
      <c r="C3" s="601"/>
      <c r="D3" s="601"/>
      <c r="E3" s="601"/>
      <c r="F3" s="601"/>
      <c r="G3" s="601"/>
      <c r="H3" s="601"/>
      <c r="I3" s="601"/>
      <c r="J3" s="476"/>
      <c r="K3" s="603" t="s">
        <v>2</v>
      </c>
      <c r="L3" s="603"/>
      <c r="M3" s="478" t="str">
        <f>'справка №1-БАЛАНС'!H3</f>
        <v> </v>
      </c>
      <c r="N3" s="2"/>
    </row>
    <row r="4" spans="1:15" s="531" customFormat="1" ht="13.5" customHeight="1">
      <c r="A4" s="467" t="s">
        <v>461</v>
      </c>
      <c r="B4" s="601" t="str">
        <f>'справка №1-БАЛАНС'!E4</f>
        <v>КОНСОЛИДИРАН</v>
      </c>
      <c r="C4" s="601"/>
      <c r="D4" s="601"/>
      <c r="E4" s="601"/>
      <c r="F4" s="601"/>
      <c r="G4" s="601"/>
      <c r="H4" s="601"/>
      <c r="I4" s="601"/>
      <c r="J4" s="136"/>
      <c r="K4" s="604" t="s">
        <v>4</v>
      </c>
      <c r="L4" s="604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5">
        <f>'справка №1-БАЛАНС'!E5</f>
        <v>43281</v>
      </c>
      <c r="C5" s="605"/>
      <c r="D5" s="605"/>
      <c r="E5" s="60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3806</v>
      </c>
      <c r="G11" s="58">
        <f>'справка №1-БАЛАНС'!H23</f>
        <v>0</v>
      </c>
      <c r="H11" s="60"/>
      <c r="I11" s="58">
        <f>'справка №1-БАЛАНС'!H28+'справка №1-БАЛАНС'!H31</f>
        <v>21733</v>
      </c>
      <c r="J11" s="58">
        <f>'справка №1-БАЛАНС'!H29+'справка №1-БАЛАНС'!H32</f>
        <v>0</v>
      </c>
      <c r="K11" s="60"/>
      <c r="L11" s="344">
        <f>SUM(C11:K11)</f>
        <v>65896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-42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-42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>
        <v>-42</v>
      </c>
      <c r="J14" s="60"/>
      <c r="K14" s="60"/>
      <c r="L14" s="344">
        <f t="shared" si="1"/>
        <v>-42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3806</v>
      </c>
      <c r="G15" s="61">
        <f t="shared" si="2"/>
        <v>0</v>
      </c>
      <c r="H15" s="61">
        <f t="shared" si="2"/>
        <v>0</v>
      </c>
      <c r="I15" s="61">
        <f t="shared" si="2"/>
        <v>21691</v>
      </c>
      <c r="J15" s="61">
        <f t="shared" si="2"/>
        <v>0</v>
      </c>
      <c r="K15" s="61">
        <f t="shared" si="2"/>
        <v>0</v>
      </c>
      <c r="L15" s="344">
        <f t="shared" si="1"/>
        <v>65854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3623</v>
      </c>
      <c r="J16" s="345">
        <f>+'справка №1-БАЛАНС'!G32</f>
        <v>0</v>
      </c>
      <c r="K16" s="60"/>
      <c r="L16" s="344">
        <f t="shared" si="1"/>
        <v>3623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-195</v>
      </c>
      <c r="J28" s="60"/>
      <c r="K28" s="60"/>
      <c r="L28" s="344">
        <f t="shared" si="1"/>
        <v>-195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3806</v>
      </c>
      <c r="G29" s="59">
        <f t="shared" si="6"/>
        <v>0</v>
      </c>
      <c r="H29" s="59">
        <f t="shared" si="6"/>
        <v>0</v>
      </c>
      <c r="I29" s="59">
        <f t="shared" si="6"/>
        <v>25119</v>
      </c>
      <c r="J29" s="59">
        <f t="shared" si="6"/>
        <v>0</v>
      </c>
      <c r="K29" s="59">
        <f t="shared" si="6"/>
        <v>0</v>
      </c>
      <c r="L29" s="344">
        <f t="shared" si="1"/>
        <v>69282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3806</v>
      </c>
      <c r="G32" s="59">
        <f t="shared" si="7"/>
        <v>0</v>
      </c>
      <c r="H32" s="59">
        <f t="shared" si="7"/>
        <v>0</v>
      </c>
      <c r="I32" s="59">
        <f t="shared" si="7"/>
        <v>25119</v>
      </c>
      <c r="J32" s="59">
        <f t="shared" si="7"/>
        <v>0</v>
      </c>
      <c r="K32" s="59">
        <f t="shared" si="7"/>
        <v>0</v>
      </c>
      <c r="L32" s="344">
        <f t="shared" si="1"/>
        <v>69282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2" t="s">
        <v>863</v>
      </c>
      <c r="B35" s="602"/>
      <c r="C35" s="602"/>
      <c r="D35" s="602"/>
      <c r="E35" s="602"/>
      <c r="F35" s="602"/>
      <c r="G35" s="602"/>
      <c r="H35" s="602"/>
      <c r="I35" s="602"/>
      <c r="J35" s="60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600" t="s">
        <v>522</v>
      </c>
      <c r="E38" s="600"/>
      <c r="F38" s="600"/>
      <c r="G38" s="600"/>
      <c r="H38" s="600"/>
      <c r="I38" s="600"/>
      <c r="J38" s="15" t="s">
        <v>858</v>
      </c>
      <c r="K38" s="15"/>
      <c r="L38" s="600"/>
      <c r="M38" s="60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 t="s">
        <v>866</v>
      </c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32"/>
  <sheetViews>
    <sheetView zoomScalePageLayoutView="0" workbookViewId="0" topLeftCell="A1">
      <selection activeCell="M18" sqref="M18"/>
    </sheetView>
  </sheetViews>
  <sheetFormatPr defaultColWidth="10.75390625" defaultRowHeight="12.75"/>
  <cols>
    <col min="1" max="1" width="4.125" style="22" customWidth="1"/>
    <col min="2" max="2" width="29.125" style="22" customWidth="1"/>
    <col min="3" max="3" width="13.75390625" style="22" customWidth="1"/>
    <col min="4" max="4" width="8.875" style="22" customWidth="1"/>
    <col min="5" max="5" width="11.75390625" style="22" customWidth="1"/>
    <col min="6" max="6" width="6.625" style="22" customWidth="1"/>
    <col min="7" max="7" width="8.875" style="22" customWidth="1"/>
    <col min="8" max="8" width="6.00390625" style="22" customWidth="1"/>
    <col min="9" max="9" width="4.875" style="22" customWidth="1"/>
    <col min="10" max="10" width="9.875" style="22" customWidth="1"/>
    <col min="11" max="11" width="8.00390625" style="22" customWidth="1"/>
    <col min="12" max="12" width="7.25390625" style="22" customWidth="1"/>
    <col min="13" max="13" width="6.125" style="22" customWidth="1"/>
    <col min="14" max="14" width="8.375" style="22" customWidth="1"/>
    <col min="15" max="15" width="4.625" style="22" customWidth="1"/>
    <col min="16" max="16" width="5.875" style="22" customWidth="1"/>
    <col min="17" max="17" width="8.75390625" style="22" customWidth="1"/>
    <col min="18" max="18" width="8.625" style="22" customWidth="1"/>
    <col min="19" max="19" width="4.875" style="22" customWidth="1"/>
    <col min="20" max="20" width="6.625" style="22" customWidth="1"/>
    <col min="21" max="23" width="10.75390625" style="22" customWidth="1"/>
    <col min="24" max="24" width="11.875" style="101" bestFit="1" customWidth="1"/>
    <col min="25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8" t="s">
        <v>384</v>
      </c>
      <c r="B2" s="619"/>
      <c r="C2" s="620" t="str">
        <f>'справка №1-БАЛАНС'!E3</f>
        <v>БГ  АГРО  АД</v>
      </c>
      <c r="D2" s="620"/>
      <c r="E2" s="620"/>
      <c r="F2" s="620"/>
      <c r="G2" s="620"/>
      <c r="H2" s="620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8" t="s">
        <v>5</v>
      </c>
      <c r="B3" s="619"/>
      <c r="C3" s="621">
        <f>'справка №1-БАЛАНС'!E5</f>
        <v>43281</v>
      </c>
      <c r="D3" s="621"/>
      <c r="E3" s="621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 t="str">
        <f>'справка №1-БАЛАНС'!H4</f>
        <v> </v>
      </c>
      <c r="P3" s="486"/>
      <c r="Q3" s="486"/>
      <c r="R3" s="527"/>
    </row>
    <row r="4" spans="1:24" ht="24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  <c r="X4" s="22"/>
    </row>
    <row r="5" spans="1:18" s="100" customFormat="1" ht="30.75" customHeight="1">
      <c r="A5" s="611" t="s">
        <v>464</v>
      </c>
      <c r="B5" s="612"/>
      <c r="C5" s="61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98.25" customHeight="1">
      <c r="A6" s="613"/>
      <c r="B6" s="614"/>
      <c r="C6" s="61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4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582"/>
      <c r="L8" s="583"/>
      <c r="M8" s="582"/>
      <c r="N8" s="582"/>
      <c r="O8" s="582"/>
      <c r="P8" s="582"/>
      <c r="Q8" s="582"/>
      <c r="R8" s="582">
        <f>R17+R19</f>
        <v>56548</v>
      </c>
      <c r="S8" s="578"/>
      <c r="T8" s="578"/>
      <c r="U8" s="578"/>
      <c r="X8" s="22"/>
    </row>
    <row r="9" spans="1:24" ht="12">
      <c r="A9" s="366" t="s">
        <v>544</v>
      </c>
      <c r="B9" s="366" t="s">
        <v>545</v>
      </c>
      <c r="C9" s="367" t="s">
        <v>546</v>
      </c>
      <c r="D9" s="189">
        <v>13902</v>
      </c>
      <c r="E9" s="189">
        <f>198+399</f>
        <v>597</v>
      </c>
      <c r="F9" s="189"/>
      <c r="G9" s="74">
        <f>D9+E9-F9</f>
        <v>14499</v>
      </c>
      <c r="H9" s="65"/>
      <c r="I9" s="65"/>
      <c r="J9" s="74">
        <f>G9</f>
        <v>14499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14499</v>
      </c>
      <c r="X9" s="22"/>
    </row>
    <row r="10" spans="1:24" ht="17.25" customHeight="1">
      <c r="A10" s="366" t="s">
        <v>547</v>
      </c>
      <c r="B10" s="366" t="s">
        <v>548</v>
      </c>
      <c r="C10" s="367" t="s">
        <v>549</v>
      </c>
      <c r="D10" s="189">
        <v>11325</v>
      </c>
      <c r="E10" s="189">
        <v>3</v>
      </c>
      <c r="F10" s="189"/>
      <c r="G10" s="74">
        <f aca="true" t="shared" si="2" ref="G10:G39">D10+E10-F10</f>
        <v>11328</v>
      </c>
      <c r="H10" s="65"/>
      <c r="I10" s="65"/>
      <c r="J10" s="74">
        <f aca="true" t="shared" si="3" ref="J10:J15">G10</f>
        <v>11328</v>
      </c>
      <c r="K10" s="65">
        <v>2498</v>
      </c>
      <c r="L10" s="65">
        <v>131</v>
      </c>
      <c r="M10" s="65"/>
      <c r="N10" s="74">
        <f aca="true" t="shared" si="4" ref="N10:N39">K10+L10-M10</f>
        <v>2629</v>
      </c>
      <c r="O10" s="65"/>
      <c r="P10" s="65"/>
      <c r="Q10" s="74">
        <f t="shared" si="0"/>
        <v>2629</v>
      </c>
      <c r="R10" s="74">
        <f t="shared" si="1"/>
        <v>8699</v>
      </c>
      <c r="X10" s="22"/>
    </row>
    <row r="11" spans="1:18" s="578" customFormat="1" ht="20.25" customHeight="1">
      <c r="A11" s="577" t="s">
        <v>550</v>
      </c>
      <c r="B11" s="577" t="s">
        <v>551</v>
      </c>
      <c r="C11" s="581" t="s">
        <v>552</v>
      </c>
      <c r="D11" s="65">
        <v>41184</v>
      </c>
      <c r="E11" s="65">
        <f>214+37+1</f>
        <v>252</v>
      </c>
      <c r="F11" s="65">
        <v>141</v>
      </c>
      <c r="G11" s="74">
        <f>D11+E11-F11</f>
        <v>41295</v>
      </c>
      <c r="H11" s="65"/>
      <c r="I11" s="65"/>
      <c r="J11" s="74">
        <f t="shared" si="3"/>
        <v>41295</v>
      </c>
      <c r="K11" s="65">
        <v>11640</v>
      </c>
      <c r="L11" s="65">
        <v>869</v>
      </c>
      <c r="M11" s="65">
        <v>19</v>
      </c>
      <c r="N11" s="74">
        <f t="shared" si="4"/>
        <v>12490</v>
      </c>
      <c r="O11" s="65"/>
      <c r="P11" s="65"/>
      <c r="Q11" s="74">
        <f t="shared" si="0"/>
        <v>12490</v>
      </c>
      <c r="R11" s="74">
        <f t="shared" si="1"/>
        <v>28805</v>
      </c>
    </row>
    <row r="12" spans="1:24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>D12+E12-F12</f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X12" s="22"/>
    </row>
    <row r="13" spans="1:24" ht="12">
      <c r="A13" s="366" t="s">
        <v>556</v>
      </c>
      <c r="B13" s="366" t="s">
        <v>557</v>
      </c>
      <c r="C13" s="367" t="s">
        <v>558</v>
      </c>
      <c r="D13" s="189">
        <v>5558</v>
      </c>
      <c r="E13" s="189">
        <f>948+81-3</f>
        <v>1026</v>
      </c>
      <c r="F13" s="189">
        <f>700</f>
        <v>700</v>
      </c>
      <c r="G13" s="74">
        <f t="shared" si="2"/>
        <v>5884</v>
      </c>
      <c r="H13" s="65"/>
      <c r="I13" s="65"/>
      <c r="J13" s="74">
        <f t="shared" si="3"/>
        <v>5884</v>
      </c>
      <c r="K13" s="65">
        <v>4242</v>
      </c>
      <c r="L13" s="65">
        <f>263-3</f>
        <v>260</v>
      </c>
      <c r="M13" s="65">
        <v>691</v>
      </c>
      <c r="N13" s="74">
        <f t="shared" si="4"/>
        <v>3811</v>
      </c>
      <c r="O13" s="65"/>
      <c r="P13" s="65"/>
      <c r="Q13" s="74">
        <f t="shared" si="0"/>
        <v>3811</v>
      </c>
      <c r="R13" s="74">
        <f t="shared" si="1"/>
        <v>2073</v>
      </c>
      <c r="X13" s="22"/>
    </row>
    <row r="14" spans="1:24" ht="12">
      <c r="A14" s="366" t="s">
        <v>559</v>
      </c>
      <c r="B14" s="366" t="s">
        <v>560</v>
      </c>
      <c r="C14" s="367" t="s">
        <v>561</v>
      </c>
      <c r="D14" s="189">
        <v>667</v>
      </c>
      <c r="E14" s="189">
        <f>39+17</f>
        <v>56</v>
      </c>
      <c r="F14" s="189"/>
      <c r="G14" s="74">
        <f>D14+E14-F14</f>
        <v>723</v>
      </c>
      <c r="H14" s="65"/>
      <c r="I14" s="65"/>
      <c r="J14" s="74">
        <f t="shared" si="3"/>
        <v>723</v>
      </c>
      <c r="K14" s="65">
        <v>502</v>
      </c>
      <c r="L14" s="65">
        <v>27</v>
      </c>
      <c r="M14" s="65"/>
      <c r="N14" s="74">
        <f t="shared" si="4"/>
        <v>529</v>
      </c>
      <c r="O14" s="65"/>
      <c r="P14" s="65"/>
      <c r="Q14" s="74">
        <f t="shared" si="0"/>
        <v>529</v>
      </c>
      <c r="R14" s="74">
        <f t="shared" si="1"/>
        <v>194</v>
      </c>
      <c r="X14" s="22"/>
    </row>
    <row r="15" spans="1:22" s="529" customFormat="1" ht="21" customHeight="1">
      <c r="A15" s="455" t="s">
        <v>859</v>
      </c>
      <c r="B15" s="374" t="s">
        <v>860</v>
      </c>
      <c r="C15" s="456" t="s">
        <v>861</v>
      </c>
      <c r="D15" s="457">
        <v>237</v>
      </c>
      <c r="E15" s="457">
        <f>1113+6</f>
        <v>1119</v>
      </c>
      <c r="F15" s="457">
        <v>173</v>
      </c>
      <c r="G15" s="74">
        <f t="shared" si="2"/>
        <v>1183</v>
      </c>
      <c r="H15" s="458"/>
      <c r="I15" s="458"/>
      <c r="J15" s="74">
        <f t="shared" si="3"/>
        <v>1183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1183</v>
      </c>
      <c r="V15" s="584"/>
    </row>
    <row r="16" spans="1:24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>D16+E16-F16</f>
        <v>0</v>
      </c>
      <c r="H16" s="65"/>
      <c r="I16" s="65"/>
      <c r="J16" s="74">
        <f aca="true" t="shared" si="5" ref="J16:J39">G16+H16-I16</f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6" ref="Q16:Q25">N16+O16-P16</f>
        <v>0</v>
      </c>
      <c r="R16" s="74">
        <f aca="true" t="shared" si="7" ref="R16:R25">J16-Q16</f>
        <v>0</v>
      </c>
      <c r="X16" s="22"/>
    </row>
    <row r="17" spans="1:24" ht="12">
      <c r="A17" s="366"/>
      <c r="B17" s="368" t="s">
        <v>565</v>
      </c>
      <c r="C17" s="369" t="s">
        <v>566</v>
      </c>
      <c r="D17" s="194">
        <f>SUM(D9:D16)</f>
        <v>72873</v>
      </c>
      <c r="E17" s="194">
        <f>SUM(E9:E16)</f>
        <v>3053</v>
      </c>
      <c r="F17" s="194">
        <f>SUM(F9:F16)</f>
        <v>1014</v>
      </c>
      <c r="G17" s="74">
        <f t="shared" si="2"/>
        <v>74912</v>
      </c>
      <c r="H17" s="75">
        <f>SUM(H9:H16)</f>
        <v>0</v>
      </c>
      <c r="I17" s="75">
        <f>SUM(I9:I16)</f>
        <v>0</v>
      </c>
      <c r="J17" s="74">
        <f t="shared" si="5"/>
        <v>74912</v>
      </c>
      <c r="K17" s="75">
        <f>SUM(K9:K16)</f>
        <v>18882</v>
      </c>
      <c r="L17" s="75">
        <f>SUM(L9:L16)</f>
        <v>1287</v>
      </c>
      <c r="M17" s="75">
        <f>SUM(M9:M16)</f>
        <v>710</v>
      </c>
      <c r="N17" s="74">
        <f t="shared" si="4"/>
        <v>19459</v>
      </c>
      <c r="O17" s="75">
        <f>SUM(O9:O16)</f>
        <v>0</v>
      </c>
      <c r="P17" s="75">
        <f>SUM(P9:P16)</f>
        <v>0</v>
      </c>
      <c r="Q17" s="74">
        <f t="shared" si="6"/>
        <v>19459</v>
      </c>
      <c r="R17" s="74">
        <f t="shared" si="7"/>
        <v>55453</v>
      </c>
      <c r="X17" s="22"/>
    </row>
    <row r="18" spans="1:24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5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6"/>
        <v>0</v>
      </c>
      <c r="R18" s="74">
        <f t="shared" si="7"/>
        <v>0</v>
      </c>
      <c r="X18" s="22"/>
    </row>
    <row r="19" spans="1:24" ht="12" customHeight="1">
      <c r="A19" s="372" t="s">
        <v>570</v>
      </c>
      <c r="B19" s="371" t="s">
        <v>571</v>
      </c>
      <c r="C19" s="369" t="s">
        <v>572</v>
      </c>
      <c r="D19" s="187">
        <v>285</v>
      </c>
      <c r="E19" s="187">
        <f>779+84</f>
        <v>863</v>
      </c>
      <c r="F19" s="187"/>
      <c r="G19" s="74">
        <f t="shared" si="2"/>
        <v>1148</v>
      </c>
      <c r="H19" s="63"/>
      <c r="I19" s="63"/>
      <c r="J19" s="74">
        <f t="shared" si="5"/>
        <v>1148</v>
      </c>
      <c r="K19" s="63">
        <v>8</v>
      </c>
      <c r="L19" s="63">
        <f>23+19+3</f>
        <v>45</v>
      </c>
      <c r="M19" s="63"/>
      <c r="N19" s="74">
        <f t="shared" si="4"/>
        <v>53</v>
      </c>
      <c r="O19" s="63"/>
      <c r="P19" s="63"/>
      <c r="Q19" s="74">
        <f t="shared" si="6"/>
        <v>53</v>
      </c>
      <c r="R19" s="74">
        <f t="shared" si="7"/>
        <v>1095</v>
      </c>
      <c r="X19" s="22"/>
    </row>
    <row r="20" spans="1:24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5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6"/>
        <v>0</v>
      </c>
      <c r="R20" s="74">
        <f t="shared" si="7"/>
        <v>0</v>
      </c>
      <c r="X20" s="22"/>
    </row>
    <row r="21" spans="1:24" ht="23.25" customHeight="1">
      <c r="A21" s="366" t="s">
        <v>544</v>
      </c>
      <c r="B21" s="366" t="s">
        <v>867</v>
      </c>
      <c r="C21" s="367" t="s">
        <v>575</v>
      </c>
      <c r="D21" s="189">
        <v>307</v>
      </c>
      <c r="E21" s="189">
        <v>11</v>
      </c>
      <c r="F21" s="189"/>
      <c r="G21" s="74">
        <f t="shared" si="2"/>
        <v>318</v>
      </c>
      <c r="H21" s="65"/>
      <c r="I21" s="65"/>
      <c r="J21" s="74">
        <f t="shared" si="5"/>
        <v>318</v>
      </c>
      <c r="K21" s="65">
        <v>239</v>
      </c>
      <c r="L21" s="65"/>
      <c r="M21" s="65"/>
      <c r="N21" s="74">
        <f t="shared" si="4"/>
        <v>239</v>
      </c>
      <c r="O21" s="65"/>
      <c r="P21" s="65"/>
      <c r="Q21" s="74">
        <f t="shared" si="6"/>
        <v>239</v>
      </c>
      <c r="R21" s="74">
        <f t="shared" si="7"/>
        <v>79</v>
      </c>
      <c r="X21" s="22"/>
    </row>
    <row r="22" spans="1:24" ht="14.25" customHeight="1">
      <c r="A22" s="366" t="s">
        <v>547</v>
      </c>
      <c r="B22" s="366" t="s">
        <v>576</v>
      </c>
      <c r="C22" s="367" t="s">
        <v>577</v>
      </c>
      <c r="D22" s="189">
        <v>116</v>
      </c>
      <c r="E22" s="189">
        <v>4</v>
      </c>
      <c r="F22" s="189"/>
      <c r="G22" s="74">
        <f t="shared" si="2"/>
        <v>120</v>
      </c>
      <c r="H22" s="65"/>
      <c r="I22" s="65"/>
      <c r="J22" s="74">
        <f t="shared" si="5"/>
        <v>120</v>
      </c>
      <c r="K22" s="65">
        <v>23</v>
      </c>
      <c r="L22" s="65">
        <v>3</v>
      </c>
      <c r="M22" s="65"/>
      <c r="N22" s="74">
        <f t="shared" si="4"/>
        <v>26</v>
      </c>
      <c r="O22" s="65"/>
      <c r="P22" s="65"/>
      <c r="Q22" s="74">
        <f t="shared" si="6"/>
        <v>26</v>
      </c>
      <c r="R22" s="74">
        <f t="shared" si="7"/>
        <v>94</v>
      </c>
      <c r="X22" s="22"/>
    </row>
    <row r="23" spans="1:24" ht="12">
      <c r="A23" s="374" t="s">
        <v>550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5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6"/>
        <v>0</v>
      </c>
      <c r="R23" s="74">
        <f t="shared" si="7"/>
        <v>0</v>
      </c>
      <c r="X23" s="22"/>
    </row>
    <row r="24" spans="1:24" ht="12">
      <c r="A24" s="366" t="s">
        <v>553</v>
      </c>
      <c r="B24" s="375" t="s">
        <v>563</v>
      </c>
      <c r="C24" s="367" t="s">
        <v>580</v>
      </c>
      <c r="D24" s="189">
        <v>10</v>
      </c>
      <c r="E24" s="189"/>
      <c r="F24" s="189"/>
      <c r="G24" s="74">
        <f t="shared" si="2"/>
        <v>10</v>
      </c>
      <c r="H24" s="65"/>
      <c r="I24" s="65"/>
      <c r="J24" s="74">
        <f t="shared" si="5"/>
        <v>10</v>
      </c>
      <c r="K24" s="65">
        <v>10</v>
      </c>
      <c r="L24" s="65"/>
      <c r="M24" s="65"/>
      <c r="N24" s="74">
        <f t="shared" si="4"/>
        <v>10</v>
      </c>
      <c r="O24" s="65"/>
      <c r="P24" s="65"/>
      <c r="Q24" s="74">
        <f t="shared" si="6"/>
        <v>10</v>
      </c>
      <c r="R24" s="74">
        <f t="shared" si="7"/>
        <v>0</v>
      </c>
      <c r="X24" s="22"/>
    </row>
    <row r="25" spans="1:24" ht="12">
      <c r="A25" s="366"/>
      <c r="B25" s="368" t="s">
        <v>838</v>
      </c>
      <c r="C25" s="376" t="s">
        <v>582</v>
      </c>
      <c r="D25" s="190">
        <f>SUM(D21:D24)</f>
        <v>433</v>
      </c>
      <c r="E25" s="190">
        <f aca="true" t="shared" si="8" ref="E25:P25">SUM(E21:E24)</f>
        <v>15</v>
      </c>
      <c r="F25" s="190">
        <f t="shared" si="8"/>
        <v>0</v>
      </c>
      <c r="G25" s="67">
        <f t="shared" si="2"/>
        <v>448</v>
      </c>
      <c r="H25" s="66">
        <f t="shared" si="8"/>
        <v>0</v>
      </c>
      <c r="I25" s="66">
        <f t="shared" si="8"/>
        <v>0</v>
      </c>
      <c r="J25" s="67">
        <f t="shared" si="5"/>
        <v>448</v>
      </c>
      <c r="K25" s="66">
        <f t="shared" si="8"/>
        <v>272</v>
      </c>
      <c r="L25" s="66">
        <f t="shared" si="8"/>
        <v>3</v>
      </c>
      <c r="M25" s="66">
        <f t="shared" si="8"/>
        <v>0</v>
      </c>
      <c r="N25" s="67">
        <f t="shared" si="4"/>
        <v>275</v>
      </c>
      <c r="O25" s="66">
        <f t="shared" si="8"/>
        <v>0</v>
      </c>
      <c r="P25" s="66">
        <f t="shared" si="8"/>
        <v>0</v>
      </c>
      <c r="Q25" s="67">
        <f t="shared" si="6"/>
        <v>275</v>
      </c>
      <c r="R25" s="67">
        <f t="shared" si="7"/>
        <v>173</v>
      </c>
      <c r="X25" s="22"/>
    </row>
    <row r="26" spans="1:24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576"/>
      <c r="M26" s="68"/>
      <c r="N26" s="69"/>
      <c r="O26" s="68"/>
      <c r="P26" s="68"/>
      <c r="Q26" s="69"/>
      <c r="R26" s="382"/>
      <c r="X26" s="579"/>
    </row>
    <row r="27" spans="1:24" ht="15.75">
      <c r="A27" s="366" t="s">
        <v>544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9" ref="E27:P27">SUM(E28:E31)</f>
        <v>0</v>
      </c>
      <c r="F27" s="192">
        <f t="shared" si="9"/>
        <v>0</v>
      </c>
      <c r="G27" s="71">
        <f t="shared" si="2"/>
        <v>0</v>
      </c>
      <c r="H27" s="70">
        <f t="shared" si="9"/>
        <v>0</v>
      </c>
      <c r="I27" s="70">
        <f t="shared" si="9"/>
        <v>0</v>
      </c>
      <c r="J27" s="71">
        <f t="shared" si="5"/>
        <v>0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4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0</v>
      </c>
      <c r="X27" s="579"/>
    </row>
    <row r="28" spans="1:18" ht="21" customHeight="1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5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</row>
    <row r="29" spans="1:1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5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</row>
    <row r="30" spans="1:1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5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</row>
    <row r="31" spans="1:1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5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</row>
    <row r="32" spans="1:18" ht="12">
      <c r="A32" s="366" t="s">
        <v>547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2"/>
        <v>0</v>
      </c>
      <c r="H32" s="73">
        <f t="shared" si="12"/>
        <v>0</v>
      </c>
      <c r="I32" s="73">
        <f t="shared" si="12"/>
        <v>0</v>
      </c>
      <c r="J32" s="74">
        <f t="shared" si="5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</row>
    <row r="33" spans="1:1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5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</row>
    <row r="34" spans="1:1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5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</row>
    <row r="35" spans="1:1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5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</row>
    <row r="36" spans="1:1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5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</row>
    <row r="37" spans="1:18" ht="12">
      <c r="A37" s="366" t="s">
        <v>550</v>
      </c>
      <c r="B37" s="381" t="s">
        <v>563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5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</row>
    <row r="38" spans="1:1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3" ref="E38:P38">E27+E32+E37</f>
        <v>0</v>
      </c>
      <c r="F38" s="194">
        <f t="shared" si="13"/>
        <v>0</v>
      </c>
      <c r="G38" s="74">
        <f t="shared" si="2"/>
        <v>0</v>
      </c>
      <c r="H38" s="75">
        <f t="shared" si="13"/>
        <v>0</v>
      </c>
      <c r="I38" s="75">
        <f t="shared" si="13"/>
        <v>0</v>
      </c>
      <c r="J38" s="74">
        <f t="shared" si="5"/>
        <v>0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0</v>
      </c>
    </row>
    <row r="39" spans="1:24" s="572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5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X39" s="580"/>
    </row>
    <row r="40" spans="1:18" ht="12">
      <c r="A40" s="366"/>
      <c r="B40" s="370" t="s">
        <v>605</v>
      </c>
      <c r="C40" s="359" t="s">
        <v>606</v>
      </c>
      <c r="D40" s="438">
        <f>D17+D18+D19+D25+D38+D39</f>
        <v>73591</v>
      </c>
      <c r="E40" s="438">
        <f>E17+E18+E19+E25+E38+E39</f>
        <v>3931</v>
      </c>
      <c r="F40" s="438">
        <f aca="true" t="shared" si="14" ref="F40:R40">F17+F18+F19+F25+F38+F39</f>
        <v>1014</v>
      </c>
      <c r="G40" s="438">
        <f t="shared" si="14"/>
        <v>76508</v>
      </c>
      <c r="H40" s="438">
        <f t="shared" si="14"/>
        <v>0</v>
      </c>
      <c r="I40" s="438">
        <f t="shared" si="14"/>
        <v>0</v>
      </c>
      <c r="J40" s="438">
        <f t="shared" si="14"/>
        <v>76508</v>
      </c>
      <c r="K40" s="438">
        <f t="shared" si="14"/>
        <v>19162</v>
      </c>
      <c r="L40" s="438">
        <f t="shared" si="14"/>
        <v>1335</v>
      </c>
      <c r="M40" s="438">
        <f t="shared" si="14"/>
        <v>710</v>
      </c>
      <c r="N40" s="438">
        <f t="shared" si="14"/>
        <v>19787</v>
      </c>
      <c r="O40" s="438">
        <f t="shared" si="14"/>
        <v>0</v>
      </c>
      <c r="P40" s="438">
        <f t="shared" si="14"/>
        <v>0</v>
      </c>
      <c r="Q40" s="438">
        <f t="shared" si="14"/>
        <v>19787</v>
      </c>
      <c r="R40" s="438">
        <f t="shared" si="14"/>
        <v>56721</v>
      </c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5">
        <v>43281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7"/>
      <c r="L44" s="617"/>
      <c r="M44" s="617"/>
      <c r="N44" s="617"/>
      <c r="O44" s="606" t="s">
        <v>781</v>
      </c>
      <c r="P44" s="607"/>
      <c r="Q44" s="607"/>
      <c r="R44" s="60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 t="s">
        <v>779</v>
      </c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1811023622047" right="0.35433070866141736" top="0.15748031496062992" bottom="0.11811023622047245" header="0.15748031496062992" footer="0.5118110236220472"/>
  <pageSetup fitToHeight="1000" horizontalDpi="300" verticalDpi="300" orientation="landscape" paperSize="9" scale="8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37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5" t="s">
        <v>609</v>
      </c>
      <c r="B1" s="625"/>
      <c r="C1" s="625"/>
      <c r="D1" s="625"/>
      <c r="E1" s="62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8" t="str">
        <f>'справка №1-БАЛАНС'!E3</f>
        <v>БГ  АГРО  АД</v>
      </c>
      <c r="C3" s="629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6">
        <f>'справка №1-БАЛАНС'!E5</f>
        <v>43281</v>
      </c>
      <c r="C4" s="62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>
        <v>774</v>
      </c>
      <c r="D15" s="108"/>
      <c r="E15" s="120">
        <f t="shared" si="0"/>
        <v>774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774</v>
      </c>
      <c r="D19" s="104">
        <f>D11+D15+D16</f>
        <v>0</v>
      </c>
      <c r="E19" s="118">
        <f>E11+E15+E16</f>
        <v>774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41</v>
      </c>
      <c r="D21" s="108"/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1787</v>
      </c>
      <c r="D24" s="119">
        <f>SUM(D25:D27)</f>
        <v>1787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1787</v>
      </c>
      <c r="D26" s="108">
        <v>1787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21593</v>
      </c>
      <c r="D28" s="108">
        <v>21593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8445</v>
      </c>
      <c r="D30" s="108">
        <v>8445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398</v>
      </c>
      <c r="D33" s="105">
        <f>SUM(D34:D37)</f>
        <v>398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398</v>
      </c>
      <c r="D35" s="108">
        <v>398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723</v>
      </c>
      <c r="D38" s="105">
        <f>SUM(D39:D42)</f>
        <v>723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694+29</f>
        <v>723</v>
      </c>
      <c r="D42" s="108">
        <v>723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32946</v>
      </c>
      <c r="D43" s="104">
        <f>D24+D28+D29+D31+D30+D32+D33+D38</f>
        <v>32946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33761</v>
      </c>
      <c r="D44" s="103">
        <f>D43+D21+D19+D9</f>
        <v>32946</v>
      </c>
      <c r="E44" s="118">
        <f>E43+E21+E19+E9</f>
        <v>815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319</v>
      </c>
      <c r="D68" s="108"/>
      <c r="E68" s="119">
        <f t="shared" si="1"/>
        <v>319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23</v>
      </c>
      <c r="D71" s="105">
        <f>SUM(D72:D74)</f>
        <v>23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23</v>
      </c>
      <c r="D72" s="108">
        <v>23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30175</v>
      </c>
      <c r="D75" s="103">
        <f>D76+D78</f>
        <v>30175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30175</v>
      </c>
      <c r="D76" s="108">
        <v>30175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7424</v>
      </c>
      <c r="D85" s="104">
        <f>SUM(D86:D90)+D94</f>
        <v>7424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6996</v>
      </c>
      <c r="D87" s="108">
        <v>6996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275</v>
      </c>
      <c r="D89" s="108">
        <v>275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55</v>
      </c>
      <c r="D90" s="103">
        <f>SUM(D91:D93)</f>
        <v>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55</v>
      </c>
      <c r="D92" s="108">
        <v>55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98</v>
      </c>
      <c r="D94" s="108">
        <v>98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1581</v>
      </c>
      <c r="D95" s="108">
        <v>1581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39203</v>
      </c>
      <c r="D96" s="104">
        <f>D85+D80+D75+D71+D95</f>
        <v>39203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39522</v>
      </c>
      <c r="D97" s="104">
        <f>D96+D68+D66</f>
        <v>39203</v>
      </c>
      <c r="E97" s="104">
        <f>E96+E68+E66</f>
        <v>319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4" t="s">
        <v>780</v>
      </c>
      <c r="B107" s="624"/>
      <c r="C107" s="624"/>
      <c r="D107" s="624"/>
      <c r="E107" s="624"/>
      <c r="F107" s="6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 t="s">
        <v>869</v>
      </c>
      <c r="B109" s="623"/>
      <c r="C109" s="623" t="s">
        <v>382</v>
      </c>
      <c r="D109" s="623"/>
      <c r="E109" s="623"/>
      <c r="F109" s="62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2" t="s">
        <v>781</v>
      </c>
      <c r="D111" s="622"/>
      <c r="E111" s="622"/>
      <c r="F111" s="62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17" bottom="0.16" header="0.17" footer="0.16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8" sqref="B38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0" t="str">
        <f>'справка №1-БАЛАНС'!E3</f>
        <v>БГ  АГРО  АД</v>
      </c>
      <c r="C4" s="630"/>
      <c r="D4" s="630"/>
      <c r="E4" s="630"/>
      <c r="F4" s="630"/>
      <c r="G4" s="636" t="s">
        <v>2</v>
      </c>
      <c r="H4" s="636"/>
      <c r="I4" s="500" t="str">
        <f>'справка №1-БАЛАНС'!H3</f>
        <v> </v>
      </c>
    </row>
    <row r="5" spans="1:9" ht="15">
      <c r="A5" s="501" t="s">
        <v>5</v>
      </c>
      <c r="B5" s="631">
        <f>'справка №1-БАЛАНС'!E5</f>
        <v>43281</v>
      </c>
      <c r="C5" s="631"/>
      <c r="D5" s="631"/>
      <c r="E5" s="631"/>
      <c r="F5" s="631"/>
      <c r="G5" s="634" t="s">
        <v>4</v>
      </c>
      <c r="H5" s="63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33"/>
      <c r="C30" s="633"/>
      <c r="D30" s="459" t="s">
        <v>819</v>
      </c>
      <c r="E30" s="632"/>
      <c r="F30" s="632"/>
      <c r="G30" s="632"/>
      <c r="H30" s="420" t="s">
        <v>781</v>
      </c>
      <c r="I30" s="632"/>
      <c r="J30" s="63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7" t="str">
        <f>'справка №1-БАЛАНС'!E3</f>
        <v>БГ  АГРО  АД</v>
      </c>
      <c r="C5" s="637"/>
      <c r="D5" s="637"/>
      <c r="E5" s="569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38">
        <f>'справка №1-БАЛАНС'!E5</f>
        <v>43281</v>
      </c>
      <c r="C6" s="638"/>
      <c r="D6" s="510"/>
      <c r="E6" s="568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573"/>
      <c r="D12" s="573"/>
      <c r="E12" s="441"/>
      <c r="F12" s="443">
        <f>C12-E12</f>
        <v>0</v>
      </c>
    </row>
    <row r="13" spans="1:6" ht="12.75">
      <c r="A13" s="36">
        <v>2</v>
      </c>
      <c r="B13" s="37"/>
      <c r="C13" s="573"/>
      <c r="D13" s="573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573"/>
      <c r="D14" s="573"/>
      <c r="E14" s="441"/>
      <c r="F14" s="443">
        <f t="shared" si="0"/>
        <v>0</v>
      </c>
    </row>
    <row r="15" spans="1:6" ht="12.75">
      <c r="A15" s="36">
        <v>4</v>
      </c>
      <c r="B15" s="37"/>
      <c r="C15" s="573"/>
      <c r="D15" s="573"/>
      <c r="E15" s="441"/>
      <c r="F15" s="443">
        <f t="shared" si="0"/>
        <v>0</v>
      </c>
    </row>
    <row r="16" spans="1:6" ht="12.75">
      <c r="A16" s="36">
        <v>5</v>
      </c>
      <c r="B16" s="37"/>
      <c r="C16" s="573"/>
      <c r="D16" s="573"/>
      <c r="E16" s="441"/>
      <c r="F16" s="443">
        <f t="shared" si="0"/>
        <v>0</v>
      </c>
    </row>
    <row r="17" spans="1:6" ht="12.75">
      <c r="A17" s="36">
        <v>6</v>
      </c>
      <c r="B17" s="37"/>
      <c r="C17" s="573"/>
      <c r="D17" s="573"/>
      <c r="E17" s="441"/>
      <c r="F17" s="443">
        <f t="shared" si="0"/>
        <v>0</v>
      </c>
    </row>
    <row r="18" spans="1:6" ht="12.75">
      <c r="A18" s="36">
        <v>7</v>
      </c>
      <c r="B18" s="37"/>
      <c r="C18" s="573"/>
      <c r="D18" s="573"/>
      <c r="E18" s="441"/>
      <c r="F18" s="443">
        <f t="shared" si="0"/>
        <v>0</v>
      </c>
    </row>
    <row r="19" spans="1:6" ht="12.75">
      <c r="A19" s="36">
        <v>8</v>
      </c>
      <c r="B19" s="37"/>
      <c r="C19" s="573"/>
      <c r="D19" s="573"/>
      <c r="E19" s="441"/>
      <c r="F19" s="443">
        <f t="shared" si="0"/>
        <v>0</v>
      </c>
    </row>
    <row r="20" spans="1:6" ht="12.75">
      <c r="A20" s="36">
        <v>9</v>
      </c>
      <c r="B20" s="37"/>
      <c r="C20" s="573"/>
      <c r="D20" s="573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9" t="s">
        <v>849</v>
      </c>
      <c r="D151" s="639"/>
      <c r="E151" s="639"/>
      <c r="F151" s="63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9" t="s">
        <v>857</v>
      </c>
      <c r="D153" s="639"/>
      <c r="E153" s="639"/>
      <c r="F153" s="63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9:C26 E12:F26 D19:D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 Atanasova</cp:lastModifiedBy>
  <cp:lastPrinted>2018-08-28T11:32:15Z</cp:lastPrinted>
  <dcterms:created xsi:type="dcterms:W3CDTF">2000-06-29T12:02:40Z</dcterms:created>
  <dcterms:modified xsi:type="dcterms:W3CDTF">2018-08-28T11:32:37Z</dcterms:modified>
  <cp:category/>
  <cp:version/>
  <cp:contentType/>
  <cp:contentStatus/>
</cp:coreProperties>
</file>