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787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№1-БАЛАНС'!$D$11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<sst xmlns="http://schemas.openxmlformats.org/spreadsheetml/2006/main" count="1060" uniqueCount="873">
  <si>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</si>
  <si>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</si>
  <si>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</si>
  <si>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</si>
  <si>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</si>
  <si>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</si>
  <si>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</si>
  <si>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</si>
  <si>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</si>
  <si>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</si>
  <si>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</si>
  <si>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</si>
  <si>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</si>
  <si>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</si>
  <si>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</si>
  <si>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</si>
  <si>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</si>
  <si>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</si>
  <si>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</si>
  <si>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</si>
  <si>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</si>
  <si>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</si>
  <si>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</si>
  <si>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</si>
  <si>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</si>
  <si>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</si>
  <si>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</si>
  <si>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</si>
  <si>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</si>
  <si>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</si>
  <si>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</si>
  <si>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</si>
  <si>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</si>
  <si>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</si>
  <si>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</si>
  <si>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</si>
  <si>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</si>
  <si>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</si>
  <si>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</si>
  <si>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</si>
  <si>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</si>
  <si>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</si>
  <si>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</si>
  <si>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</si>
  <si>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</si>
  <si>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</si>
  <si>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</si>
  <si>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</si>
  <si>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</si>
  <si>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</si>
  <si>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</si>
  <si>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</si>
  <si>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</si>
  <si>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</si>
  <si>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</si>
  <si>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</si>
  <si>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</si>
  <si>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</si>
  <si>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</si>
  <si>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</si>
  <si>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</si>
  <si>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</si>
  <si>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</si>
  <si>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</si>
  <si>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</si>
  <si>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</si>
  <si>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</si>
  <si>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</si>
  <si>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</si>
  <si>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</si>
  <si>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</si>
  <si>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</si>
  <si>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</si>
  <si>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</si>
  <si>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</si>
  <si>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</si>
  <si>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</si>
  <si>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</si>
  <si>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</si>
  <si>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</si>
  <si>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</si>
  <si>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</si>
  <si>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</si>
  <si>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</si>
  <si>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</si>
  <si>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</si>
  <si>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</si>
  <si>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</si>
  <si>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</si>
  <si>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</si>
  <si>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</si>
  <si>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</si>
  <si>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</si>
  <si>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</si>
  <si>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</si>
  <si>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</si>
  <si>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</si>
  <si>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</si>
  <si>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</si>
  <si>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</si>
  <si>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</si>
  <si>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</si>
  <si>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</si>
  <si>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</si>
  <si>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</si>
  <si>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</si>
  <si>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</si>
  <si>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</si>
  <si>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</si>
  <si>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</si>
  <si>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</si>
  <si>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</si>
  <si>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</si>
  <si>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</si>
  <si>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</si>
  <si>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</si>
  <si>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</si>
  <si>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</si>
  <si>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</si>
  <si>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</si>
  <si>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</si>
  <si>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</si>
  <si>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</si>
  <si>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</si>
  <si>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</si>
  <si>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</si>
  <si>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</si>
  <si>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</si>
  <si>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</si>
  <si>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</si>
  <si>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</si>
  <si>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</si>
  <si>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</si>
  <si>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</si>
  <si>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</si>
  <si>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</si>
  <si>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</si>
  <si>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</si>
  <si>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</si>
  <si>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</si>
  <si>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</si>
  <si>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</si>
  <si>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</si>
  <si>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</si>
  <si>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</si>
  <si>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</si>
  <si>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</si>
  <si>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</si>
  <si>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</si>
  <si>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</si>
  <si>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</si>
  <si>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</si>
  <si>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</si>
  <si>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</si>
  <si>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</si>
  <si>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</si>
  <si>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</si>
  <si>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</si>
  <si>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</si>
  <si>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</si>
  <si>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</si>
  <si>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</si>
  <si>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</si>
  <si>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</si>
  <si>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</si>
  <si>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</si>
  <si>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</si>
  <si>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</si>
  <si>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</si>
  <si>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</si>
  <si>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</si>
  <si>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</si>
  <si>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</si>
  <si>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</si>
  <si>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</si>
  <si>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</si>
  <si>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</si>
  <si>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</si>
  <si>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</si>
  <si>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</si>
  <si>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</si>
  <si>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</si>
  <si>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</si>
  <si>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</si>
  <si>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</si>
  <si>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</si>
  <si>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</si>
  <si>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</si>
  <si>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</si>
  <si>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</si>
  <si>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</si>
  <si>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</si>
  <si>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</si>
  <si>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</si>
  <si>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</si>
  <si>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</si>
  <si>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</si>
  <si>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</si>
  <si>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</si>
  <si>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</si>
  <si>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</si>
  <si>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</si>
  <si>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</si>
  <si>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</si>
  <si>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</si>
  <si>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</si>
  <si>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</si>
  <si>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</si>
  <si>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</si>
  <si>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</si>
  <si>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</si>
  <si>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</si>
  <si>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</si>
  <si>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</si>
  <si>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</si>
  <si>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</si>
  <si>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</si>
  <si>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</si>
  <si>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</si>
  <si>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</si>
  <si>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</si>
  <si>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</si>
  <si>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</si>
  <si>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</si>
  <si>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</si>
  <si>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</si>
  <si>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</si>
  <si>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</si>
  <si>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</si>
  <si>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</si>
  <si>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</si>
  <si>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</si>
  <si>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</si>
  <si>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</si>
  <si>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</si>
  <si>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</si>
  <si>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</si>
  <si>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</si>
  <si>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</si>
  <si>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</si>
  <si>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</si>
  <si>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</si>
  <si>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</si>
  <si>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</si>
  <si>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</si>
  <si>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</si>
  <si>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</si>
  <si>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</si>
  <si>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</si>
  <si>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</si>
  <si>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</si>
  <si>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</si>
  <si>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</si>
  <si>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</si>
  <si>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</si>
  <si>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</si>
  <si>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</si>
  <si>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</si>
  <si>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</si>
  <si>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</si>
  <si>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</si>
  <si>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</si>
  <si>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</si>
  <si>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</si>
  <si>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</si>
  <si>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</si>
  <si>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</si>
  <si>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</si>
  <si>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</si>
  <si>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</si>
  <si>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</si>
  <si>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</si>
  <si>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</si>
  <si>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</si>
  <si>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</si>
  <si>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</si>
  <si>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</si>
  <si>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</si>
  <si>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</si>
  <si>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</si>
  <si>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</si>
  <si>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</si>
  <si>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</si>
  <si>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</si>
  <si>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</si>
  <si>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</si>
  <si>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</si>
  <si>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</si>
  <si>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</si>
  <si>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</si>
  <si>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</si>
  <si>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</si>
  <si>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</si>
  <si>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</si>
  <si>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</si>
  <si>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</si>
  <si>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</si>
  <si>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</si>
  <si>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</si>
  <si>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</si>
  <si>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</si>
  <si>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</si>
  <si>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</si>
  <si>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</si>
  <si>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</si>
  <si>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</si>
  <si>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</si>
  <si>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</si>
  <si>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</si>
  <si>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</si>
  <si>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</si>
  <si>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</si>
  <si>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</si>
  <si>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</si>
  <si>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</si>
  <si>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</si>
  <si>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</si>
  <si>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</si>
  <si>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</si>
  <si>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</si>
  <si>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</si>
  <si>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</si>
  <si>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</si>
  <si>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</si>
  <si>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</si>
  <si>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</si>
  <si>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</si>
  <si>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</si>
  <si>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</si>
  <si>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</si>
  <si>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</si>
  <si>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</si>
  <si>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</si>
  <si>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</si>
  <si>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</si>
  <si>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</si>
  <si>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</si>
  <si>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</si>
  <si>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</si>
  <si>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</si>
  <si>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</si>
  <si>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</si>
  <si>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</si>
  <si>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</si>
  <si>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</si>
  <si>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</si>
  <si>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</si>
  <si>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</si>
  <si>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</si>
  <si>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</si>
  <si>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</si>
  <si>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</si>
  <si>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</si>
  <si>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</si>
  <si>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</si>
  <si>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</si>
  <si>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</si>
  <si>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</si>
  <si>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</si>
  <si>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</si>
  <si>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</si>
  <si>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</si>
  <si>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</si>
  <si>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</si>
  <si>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</si>
  <si>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</si>
  <si>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</si>
  <si>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</si>
  <si>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</si>
  <si>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</si>
  <si>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</si>
  <si>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</si>
  <si>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</si>
  <si>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</si>
  <si>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</si>
  <si>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</si>
  <si>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</si>
  <si>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</si>
  <si>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</si>
  <si>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</si>
  <si>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</si>
  <si>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</si>
  <si>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</si>
  <si>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</si>
  <si>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</si>
  <si>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</si>
  <si>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</si>
  <si>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</si>
  <si>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</si>
  <si>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</si>
  <si>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</si>
  <si>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</si>
  <si>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</si>
  <si>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</si>
  <si>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</si>
  <si>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</si>
  <si>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</si>
  <si>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</si>
  <si>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</si>
  <si>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</si>
  <si>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</si>
  <si>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</si>
  <si>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</si>
  <si>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</si>
  <si>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</si>
  <si>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</si>
  <si>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</si>
  <si>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</si>
  <si>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</si>
  <si>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</si>
  <si>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</si>
  <si>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</si>
  <si>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</si>
  <si>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</si>
  <si>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</si>
  <si>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</si>
  <si>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</si>
  <si>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</si>
  <si>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</si>
  <si>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</si>
  <si>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</si>
  <si>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</si>
  <si>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</si>
  <si>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</si>
  <si>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</si>
  <si>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</si>
  <si>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</si>
  <si>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</si>
  <si>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</si>
  <si>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</si>
  <si>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</si>
  <si>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</si>
  <si>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</si>
  <si>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</si>
  <si>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</si>
  <si>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</si>
  <si>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</si>
  <si>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</si>
  <si>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</si>
  <si>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</si>
  <si>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</si>
  <si>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</si>
  <si>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</si>
  <si>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</si>
  <si>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</si>
  <si>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</si>
  <si>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</si>
  <si>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</si>
  <si>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</si>
  <si>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</si>
  <si>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</si>
  <si>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</si>
  <si>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</si>
  <si>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</si>
  <si>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</si>
  <si>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</si>
  <si>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</si>
  <si>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</si>
  <si>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</si>
  <si>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</si>
  <si>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</si>
  <si>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</si>
  <si>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</si>
  <si>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</si>
  <si>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</si>
  <si>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</si>
  <si>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</si>
  <si>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</si>
  <si>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</si>
  <si>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</si>
  <si>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</si>
  <si>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</si>
  <si>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</si>
  <si>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</si>
  <si>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</si>
  <si>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</si>
  <si>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</si>
  <si>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</si>
  <si>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</si>
  <si>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</si>
  <si>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</si>
  <si>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</si>
  <si>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</si>
  <si>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</si>
  <si>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</si>
  <si>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</si>
  <si>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</si>
  <si>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</si>
  <si>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</si>
  <si>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</si>
  <si>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</si>
  <si>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</si>
  <si>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</si>
  <si>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</si>
  <si>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</si>
  <si>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</si>
  <si>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</si>
  <si>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</si>
  <si>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</si>
  <si>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</si>
  <si>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</si>
  <si>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</si>
  <si>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</si>
  <si>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</si>
  <si>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</si>
  <si>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</si>
  <si>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</si>
  <si>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</si>
  <si>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</si>
  <si>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</si>
  <si>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</si>
  <si>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</si>
  <si>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</si>
  <si>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</si>
  <si>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</si>
  <si>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</si>
  <si>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</si>
  <si>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</si>
  <si>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</si>
  <si>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</si>
  <si>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</si>
  <si>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</si>
  <si>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</si>
  <si>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</si>
  <si>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</si>
  <si>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</si>
  <si>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</si>
  <si>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</si>
  <si>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</si>
  <si>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</si>
  <si>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</si>
  <si>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</si>
  <si>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</si>
  <si>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</si>
  <si>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</si>
  <si>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</si>
  <si>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</si>
  <si>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</si>
  <si>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</si>
  <si>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</si>
  <si>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</si>
  <si>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</si>
  <si>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</si>
  <si>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</si>
  <si>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</si>
  <si>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</si>
  <si>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</si>
  <si>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</si>
  <si>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</si>
  <si>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</si>
  <si>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</si>
  <si>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</si>
  <si>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</si>
  <si>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</si>
  <si>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</si>
  <si>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</si>
  <si>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</si>
  <si>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</si>
  <si>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</si>
  <si>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</si>
  <si>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</si>
  <si>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</si>
  <si>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</si>
  <si>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</si>
  <si>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</si>
  <si>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</si>
  <si>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</si>
  <si>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</si>
  <si>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</si>
  <si>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</si>
  <si>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</si>
  <si>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</si>
  <si>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</si>
  <si>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</si>
  <si>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</si>
  <si>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</si>
  <si>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</si>
  <si>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</si>
  <si>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</si>
  <si>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</si>
  <si>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</si>
  <si>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</si>
  <si>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</si>
  <si>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</si>
  <si>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</si>
  <si>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</si>
  <si>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</si>
  <si>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</si>
  <si>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</si>
  <si>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</si>
  <si>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</si>
  <si>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</si>
  <si>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</si>
  <si>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</si>
  <si>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</si>
  <si>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</si>
  <si>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</si>
  <si>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</si>
  <si>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</si>
  <si>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</si>
  <si>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</si>
  <si>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</si>
  <si>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</si>
  <si>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</si>
  <si>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</si>
  <si>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</si>
  <si>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</si>
  <si>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</si>
  <si>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</si>
  <si>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</si>
  <si>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</si>
  <si>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</si>
  <si>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</si>
  <si>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</si>
  <si>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</si>
  <si>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</si>
  <si>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</si>
  <si>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</si>
  <si>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</si>
  <si>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</si>
  <si>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</si>
  <si>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</si>
  <si>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</si>
  <si>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</si>
  <si>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</si>
  <si>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</si>
  <si>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</si>
  <si>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</si>
  <si>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</si>
  <si>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</si>
  <si>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</si>
  <si>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</si>
  <si>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</si>
  <si>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</si>
  <si>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</si>
  <si>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</si>
  <si>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</si>
  <si>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</si>
  <si>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</si>
  <si>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</si>
  <si>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</si>
  <si>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</si>
  <si>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</si>
  <si>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</si>
  <si>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</si>
  <si>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</si>
  <si>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</si>
  <si>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</si>
  <si>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</si>
  <si>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</si>
  <si>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</si>
  <si>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</si>
  <si>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</si>
  <si>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</si>
  <si>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</si>
  <si>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</si>
  <si>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</si>
  <si>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</si>
  <si>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</si>
  <si>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</si>
  <si>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</si>
  <si>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</si>
  <si>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</si>
  <si>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</si>
  <si>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</si>
  <si>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</si>
  <si>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</si>
  <si>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</si>
  <si>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</si>
  <si>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</si>
  <si>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</si>
  <si>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</si>
  <si>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</si>
  <si>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</si>
  <si>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</si>
  <si>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</si>
  <si>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</si>
  <si>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</si>
  <si>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</si>
  <si>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</si>
  <si>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</si>
  <si>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</si>
  <si>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</si>
  <si>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</si>
  <si>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</si>
  <si>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</si>
  <si>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</si>
  <si>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</si>
  <si>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</si>
  <si>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</si>
  <si>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</si>
  <si>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</si>
  <si>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</si>
  <si>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</si>
  <si>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</si>
  <si>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</si>
  <si>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</si>
  <si>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</si>
  <si>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</si>
  <si>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</si>
  <si>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</si>
  <si>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</si>
  <si>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</si>
  <si>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</si>
  <si>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</si>
  <si>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</si>
  <si>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</si>
  <si>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</si>
  <si>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</si>
  <si>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</si>
  <si>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</si>
  <si>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</si>
  <si>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</si>
  <si>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</si>
  <si>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</si>
  <si>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</si>
  <si>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</si>
  <si>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</si>
  <si>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</si>
  <si>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</si>
  <si>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</si>
  <si>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</si>
  <si>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</si>
  <si>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</si>
  <si>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</si>
  <si>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</si>
  <si>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</si>
  <si>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</si>
  <si>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</si>
  <si>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</si>
  <si>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</si>
  <si>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</si>
  <si>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</si>
  <si>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</si>
  <si>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</si>
  <si>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</si>
  <si>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</si>
  <si>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</si>
  <si>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</si>
  <si>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</si>
  <si>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</si>
  <si>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</si>
  <si>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</si>
  <si>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</si>
  <si>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</si>
  <si>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</si>
  <si>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</si>
  <si>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</si>
  <si>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</si>
  <si>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</si>
  <si>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</si>
  <si>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</si>
  <si>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</si>
  <si>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</si>
  <si>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</si>
  <si>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</si>
  <si>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</si>
  <si>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</si>
  <si>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</si>
  <si>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</si>
  <si>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</si>
  <si>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</si>
  <si>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</si>
  <si>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</si>
  <si>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</si>
  <si>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</si>
  <si>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</si>
  <si>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</si>
  <si>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</si>
  <si>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</si>
  <si>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</si>
  <si>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</si>
  <si>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</si>
  <si>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</si>
  <si>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</si>
  <si>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</si>
  <si>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</si>
  <si>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</si>
  <si>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</si>
  <si>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</si>
  <si>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</si>
  <si>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</si>
  <si>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</si>
  <si>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</si>
  <si>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</si>
  <si>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</si>
  <si>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</si>
  <si>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</si>
  <si>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</si>
  <si>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</si>
  <si>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</si>
  <si>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</si>
  <si>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</si>
  <si>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</si>
  <si>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</si>
  <si>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</si>
  <si>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</si>
  <si>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</si>
  <si>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</si>
  <si>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</si>
  <si>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</si>
  <si>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</si>
  <si>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</si>
  <si>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</si>
  <si>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</si>
  <si>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</si>
  <si>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</si>
  <si>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</si>
  <si>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</si>
  <si>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</si>
  <si>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</si>
  <si>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</si>
  <si>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</si>
  <si>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</si>
  <si>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</si>
  <si>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</si>
  <si>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</si>
  <si>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</si>
  <si>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</si>
  <si>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</si>
  <si>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</si>
  <si>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</si>
  <si>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</si>
  <si>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</si>
  <si>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</si>
  <si>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</si>
  <si>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</si>
  <si>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</si>
  <si>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</si>
  <si>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</si>
  <si>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</si>
  <si>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</si>
  <si>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</si>
  <si>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</si>
  <si>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</si>
  <si>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</si>
  <si>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</si>
  <si>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</si>
  <si>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</si>
  <si>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</si>
  <si>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</si>
  <si>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</si>
  <si>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</si>
  <si>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</si>
  <si>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</si>
  <si>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</si>
  <si>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</si>
  <si>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</si>
  <si>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</si>
  <si>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</si>
  <si>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</si>
  <si>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</si>
  <si>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</si>
  <si>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</si>
  <si>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</si>
  <si>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</si>
  <si>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</si>
  <si>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</si>
  <si>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</si>
  <si>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</si>
  <si>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</si>
  <si>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</si>
  <si>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</si>
  <si>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</si>
  <si>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</si>
  <si>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</si>
  <si>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</si>
  <si>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</si>
  <si>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</si>
  <si>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</si>
  <si>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НУРТС България АД</t>
  </si>
  <si>
    <t>консолидиран</t>
  </si>
  <si>
    <t>01.01.2014-31.12.2014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</si>
</sst>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7" xfId="65" applyNumberFormat="1" applyFont="1" applyFill="1" applyBorder="1" applyAlignment="1" applyProtection="1">
      <alignment vertical="top" wrapText="1"/>
      <protection locked="0"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36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3" borderId="16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7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3">
      <selection activeCell="G29" sqref="G29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201105038</v>
      </c>
    </row>
    <row r="4" spans="1:8" ht="13.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>
        <v>1582</v>
      </c>
    </row>
    <row r="5" spans="1:8" ht="13.5">
      <c r="A5" s="575" t="s">
        <v>5</v>
      </c>
      <c r="B5" s="576"/>
      <c r="C5" s="576"/>
      <c r="D5" s="576"/>
      <c r="E5" s="574" t="s">
        <v>872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9667</v>
      </c>
      <c r="D11" s="151">
        <v>18623</v>
      </c>
      <c r="E11" s="237" t="s">
        <v>22</v>
      </c>
      <c r="F11" s="242" t="s">
        <v>23</v>
      </c>
      <c r="G11" s="152">
        <v>151482</v>
      </c>
      <c r="H11" s="152">
        <v>151482</v>
      </c>
    </row>
    <row r="12" spans="1:8" ht="13.5">
      <c r="A12" s="235" t="s">
        <v>24</v>
      </c>
      <c r="B12" s="241" t="s">
        <v>25</v>
      </c>
      <c r="C12" s="151">
        <v>24238</v>
      </c>
      <c r="D12" s="151">
        <v>26832</v>
      </c>
      <c r="E12" s="237" t="s">
        <v>26</v>
      </c>
      <c r="F12" s="242" t="s">
        <v>27</v>
      </c>
      <c r="G12" s="153"/>
      <c r="H12" s="153"/>
    </row>
    <row r="13" spans="1:8" ht="13.5">
      <c r="A13" s="235" t="s">
        <v>28</v>
      </c>
      <c r="B13" s="241" t="s">
        <v>29</v>
      </c>
      <c r="C13" s="151">
        <v>19124</v>
      </c>
      <c r="D13" s="151">
        <v>22368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45762</v>
      </c>
      <c r="D14" s="151">
        <v>92015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347</v>
      </c>
      <c r="D15" s="151">
        <v>346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268</v>
      </c>
      <c r="D16" s="151">
        <v>342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827</v>
      </c>
      <c r="D17" s="151">
        <v>1016</v>
      </c>
      <c r="E17" s="243" t="s">
        <v>46</v>
      </c>
      <c r="F17" s="245" t="s">
        <v>47</v>
      </c>
      <c r="G17" s="154">
        <f>G11+G14+G15+G16</f>
        <v>151482</v>
      </c>
      <c r="H17" s="154">
        <f>H11+H14+H15+H16</f>
        <v>151482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100233</v>
      </c>
      <c r="D19" s="155">
        <f>SUM(D11:D18)</f>
        <v>161542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1456</v>
      </c>
      <c r="H21" s="156">
        <f>SUM(H22:H24)</f>
        <v>1041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1456</v>
      </c>
      <c r="H22" s="152">
        <v>1041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237</v>
      </c>
      <c r="D24" s="151">
        <v>317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1456</v>
      </c>
      <c r="H25" s="154">
        <f>H19+H20+H21</f>
        <v>1041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>
        <v>7860</v>
      </c>
      <c r="D26" s="151">
        <v>14797</v>
      </c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8097</v>
      </c>
      <c r="D27" s="155">
        <f>SUM(D23:D26)</f>
        <v>15114</v>
      </c>
      <c r="E27" s="253" t="s">
        <v>83</v>
      </c>
      <c r="F27" s="242" t="s">
        <v>84</v>
      </c>
      <c r="G27" s="154">
        <f>SUM(G28:G30)</f>
        <v>-21835</v>
      </c>
      <c r="H27" s="154">
        <f>SUM(H28:H30)</f>
        <v>-2214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-9587-12350+102</f>
        <v>-21835</v>
      </c>
      <c r="H29" s="316">
        <v>-2214</v>
      </c>
      <c r="M29" s="157"/>
    </row>
    <row r="30" spans="1:8" ht="13.5">
      <c r="A30" s="235" t="s">
        <v>90</v>
      </c>
      <c r="B30" s="241" t="s">
        <v>91</v>
      </c>
      <c r="C30" s="151">
        <v>2041</v>
      </c>
      <c r="D30" s="151">
        <v>4339</v>
      </c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3.5">
      <c r="A32" s="235" t="s">
        <v>98</v>
      </c>
      <c r="B32" s="250" t="s">
        <v>99</v>
      </c>
      <c r="C32" s="155">
        <f>C30+C31</f>
        <v>2041</v>
      </c>
      <c r="D32" s="155">
        <f>D30+D31</f>
        <v>4339</v>
      </c>
      <c r="E32" s="243" t="s">
        <v>100</v>
      </c>
      <c r="F32" s="242" t="s">
        <v>101</v>
      </c>
      <c r="G32" s="316">
        <f>-40769</f>
        <v>-40769</v>
      </c>
      <c r="H32" s="316">
        <v>-7373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-62604</v>
      </c>
      <c r="H33" s="154">
        <f>H27+H31+H32</f>
        <v>-9587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90334</v>
      </c>
      <c r="H36" s="154">
        <f>H25+H17+H33</f>
        <v>142936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>
        <v>0</v>
      </c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>
        <v>701</v>
      </c>
      <c r="D44" s="151">
        <v>34452</v>
      </c>
      <c r="E44" s="268" t="s">
        <v>134</v>
      </c>
      <c r="F44" s="242" t="s">
        <v>135</v>
      </c>
      <c r="G44" s="152">
        <v>38</v>
      </c>
      <c r="H44" s="152">
        <v>58</v>
      </c>
    </row>
    <row r="45" spans="1:15" ht="13.5">
      <c r="A45" s="235" t="s">
        <v>136</v>
      </c>
      <c r="B45" s="249" t="s">
        <v>137</v>
      </c>
      <c r="C45" s="155">
        <f>C34+C39+C44</f>
        <v>701</v>
      </c>
      <c r="D45" s="155">
        <f>D34+D39+D44</f>
        <v>34452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78204</v>
      </c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2191+320</f>
        <v>2511</v>
      </c>
      <c r="H48" s="152">
        <v>2914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2549</v>
      </c>
      <c r="H49" s="154">
        <f>SUM(H43:H48)</f>
        <v>81176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>
        <v>3017</v>
      </c>
      <c r="D54" s="151">
        <v>3017</v>
      </c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114089</v>
      </c>
      <c r="D55" s="155">
        <f>D19+D20+D21+D27+D32+D45+D51+D53+D54</f>
        <v>218464</v>
      </c>
      <c r="E55" s="237" t="s">
        <v>172</v>
      </c>
      <c r="F55" s="261" t="s">
        <v>173</v>
      </c>
      <c r="G55" s="154">
        <f>G49+G51+G52+G53+G54</f>
        <v>2549</v>
      </c>
      <c r="H55" s="154">
        <f>H49+H51+H52+H53+H54</f>
        <v>81176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2560</v>
      </c>
      <c r="D58" s="151">
        <v>4021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71</f>
        <v>71</v>
      </c>
      <c r="H59" s="152">
        <v>46</v>
      </c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>
        <v>1180</v>
      </c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3028</v>
      </c>
      <c r="H61" s="154">
        <f>SUM(H62:H68)</f>
        <v>25860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3.5">
      <c r="A63" s="235" t="s">
        <v>195</v>
      </c>
      <c r="B63" s="241" t="s">
        <v>196</v>
      </c>
      <c r="C63" s="151">
        <v>0</v>
      </c>
      <c r="D63" s="151">
        <v>2966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2560</v>
      </c>
      <c r="D64" s="155">
        <f>SUM(D58:D63)</f>
        <v>6987</v>
      </c>
      <c r="E64" s="237" t="s">
        <v>200</v>
      </c>
      <c r="F64" s="242" t="s">
        <v>201</v>
      </c>
      <c r="G64" s="152">
        <v>1625</v>
      </c>
      <c r="H64" s="152">
        <v>1947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21802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689</v>
      </c>
      <c r="H66" s="152">
        <v>719</v>
      </c>
    </row>
    <row r="67" spans="1:8" ht="13.5">
      <c r="A67" s="235" t="s">
        <v>207</v>
      </c>
      <c r="B67" s="241" t="s">
        <v>208</v>
      </c>
      <c r="C67" s="151"/>
      <c r="D67" s="151">
        <v>0</v>
      </c>
      <c r="E67" s="237" t="s">
        <v>209</v>
      </c>
      <c r="F67" s="242" t="s">
        <v>210</v>
      </c>
      <c r="G67" s="152">
        <v>250</v>
      </c>
      <c r="H67" s="152">
        <v>245</v>
      </c>
    </row>
    <row r="68" spans="1:8" ht="13.5">
      <c r="A68" s="235" t="s">
        <v>211</v>
      </c>
      <c r="B68" s="241" t="s">
        <v>212</v>
      </c>
      <c r="C68" s="151">
        <v>15032</v>
      </c>
      <c r="D68" s="151">
        <v>10550</v>
      </c>
      <c r="E68" s="237" t="s">
        <v>213</v>
      </c>
      <c r="F68" s="242" t="s">
        <v>214</v>
      </c>
      <c r="G68" s="152">
        <v>464</v>
      </c>
      <c r="H68" s="152">
        <v>1147</v>
      </c>
    </row>
    <row r="69" spans="1:8" ht="13.5">
      <c r="A69" s="235" t="s">
        <v>215</v>
      </c>
      <c r="B69" s="241" t="s">
        <v>216</v>
      </c>
      <c r="C69" s="151">
        <v>237</v>
      </c>
      <c r="D69" s="151">
        <v>178</v>
      </c>
      <c r="E69" s="251" t="s">
        <v>78</v>
      </c>
      <c r="F69" s="242" t="s">
        <v>217</v>
      </c>
      <c r="G69" s="152">
        <f>14538+28381</f>
        <v>42919</v>
      </c>
      <c r="H69" s="152">
        <v>206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218</v>
      </c>
      <c r="H70" s="152">
        <v>188</v>
      </c>
    </row>
    <row r="71" spans="1:18" ht="13.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46236</v>
      </c>
      <c r="H71" s="161">
        <f>H59+H60+H61+H69+H70</f>
        <v>27480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584</v>
      </c>
      <c r="D72" s="151">
        <v>1469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1315</v>
      </c>
      <c r="D74" s="151">
        <v>1029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17168</v>
      </c>
      <c r="D75" s="155">
        <f>SUM(D67:D74)</f>
        <v>13226</v>
      </c>
      <c r="E75" s="251" t="s">
        <v>160</v>
      </c>
      <c r="F75" s="245" t="s">
        <v>234</v>
      </c>
      <c r="G75" s="152">
        <v>166</v>
      </c>
      <c r="H75" s="152">
        <v>166</v>
      </c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46402</v>
      </c>
      <c r="H79" s="162">
        <f>H71+H74+H75+H76</f>
        <v>27646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>
        <v>0</v>
      </c>
      <c r="D83" s="151">
        <v>1316</v>
      </c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1316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5</v>
      </c>
      <c r="D87" s="151">
        <v>4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5164</v>
      </c>
      <c r="D88" s="151">
        <v>11289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5169</v>
      </c>
      <c r="D91" s="155">
        <f>SUM(D87:D90)</f>
        <v>11293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299</v>
      </c>
      <c r="D92" s="151">
        <v>472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25196</v>
      </c>
      <c r="D93" s="155">
        <f>D64+D75+D84+D91+D92</f>
        <v>33294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139285</v>
      </c>
      <c r="D94" s="164">
        <f>D93+D55</f>
        <v>251758</v>
      </c>
      <c r="E94" s="449" t="s">
        <v>270</v>
      </c>
      <c r="F94" s="289" t="s">
        <v>271</v>
      </c>
      <c r="G94" s="165">
        <f>G36+G39+G55+G79</f>
        <v>139285</v>
      </c>
      <c r="H94" s="165">
        <f>H36+H39+H55+H79</f>
        <v>251758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D11:D17 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C18" sqref="C18"/>
    </sheetView>
  </sheetViews>
  <sheetFormatPr defaultColWidth="9.37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625" style="544" customWidth="1"/>
    <col min="5" max="5" width="37.375" style="567" customWidth="1"/>
    <col min="6" max="6" width="9.00390625" style="567" customWidth="1"/>
    <col min="7" max="7" width="11.625" style="544" customWidth="1"/>
    <col min="8" max="8" width="13.125" style="544" customWidth="1"/>
    <col min="9" max="16384" width="9.37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3.5">
      <c r="A2" s="467" t="s">
        <v>1</v>
      </c>
      <c r="B2" s="584" t="str">
        <f>'справка №1-БАЛАНС'!E3</f>
        <v>НУРТС България АД</v>
      </c>
      <c r="C2" s="584"/>
      <c r="D2" s="584"/>
      <c r="E2" s="584"/>
      <c r="F2" s="586" t="s">
        <v>2</v>
      </c>
      <c r="G2" s="586"/>
      <c r="H2" s="525">
        <f>'справка №1-БАЛАНС'!H3</f>
        <v>201105038</v>
      </c>
    </row>
    <row r="3" spans="1:8" ht="13.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5" t="s">
        <v>4</v>
      </c>
      <c r="G3" s="526"/>
      <c r="H3" s="526">
        <f>'справка №1-БАЛАНС'!H4</f>
        <v>1582</v>
      </c>
    </row>
    <row r="4" spans="1: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3"/>
      <c r="H4" s="546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8307</v>
      </c>
      <c r="D9" s="46">
        <v>9640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17905</v>
      </c>
      <c r="D10" s="46">
        <v>19214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f>64411-47309</f>
        <v>17102</v>
      </c>
      <c r="D11" s="46">
        <v>21736</v>
      </c>
      <c r="E11" s="300" t="s">
        <v>293</v>
      </c>
      <c r="F11" s="548" t="s">
        <v>294</v>
      </c>
      <c r="G11" s="549">
        <v>52741</v>
      </c>
      <c r="H11" s="549">
        <v>50619</v>
      </c>
    </row>
    <row r="12" spans="1:8" ht="12">
      <c r="A12" s="298" t="s">
        <v>295</v>
      </c>
      <c r="B12" s="299" t="s">
        <v>296</v>
      </c>
      <c r="C12" s="46">
        <v>5695</v>
      </c>
      <c r="D12" s="46">
        <v>5644</v>
      </c>
      <c r="E12" s="300" t="s">
        <v>78</v>
      </c>
      <c r="F12" s="548" t="s">
        <v>297</v>
      </c>
      <c r="G12" s="549">
        <v>24976</v>
      </c>
      <c r="H12" s="549">
        <v>11550</v>
      </c>
    </row>
    <row r="13" spans="1:18" ht="12">
      <c r="A13" s="298" t="s">
        <v>298</v>
      </c>
      <c r="B13" s="299" t="s">
        <v>299</v>
      </c>
      <c r="C13" s="46">
        <v>1289</v>
      </c>
      <c r="D13" s="46">
        <v>1963</v>
      </c>
      <c r="E13" s="301" t="s">
        <v>51</v>
      </c>
      <c r="F13" s="550" t="s">
        <v>300</v>
      </c>
      <c r="G13" s="547">
        <f>SUM(G9:G12)</f>
        <v>77717</v>
      </c>
      <c r="H13" s="547">
        <f>SUM(H9:H12)</f>
        <v>62169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10889</v>
      </c>
      <c r="D14" s="46">
        <v>5380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6913+186+47309+88</f>
        <v>54496</v>
      </c>
      <c r="D16" s="47">
        <v>2529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>
        <v>47309</v>
      </c>
      <c r="D17" s="48">
        <v>748</v>
      </c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>
        <v>88</v>
      </c>
      <c r="D18" s="48">
        <v>57</v>
      </c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115683</v>
      </c>
      <c r="D19" s="49">
        <f>SUM(D9:D15)+D16</f>
        <v>66106</v>
      </c>
      <c r="E19" s="304" t="s">
        <v>317</v>
      </c>
      <c r="F19" s="551" t="s">
        <v>318</v>
      </c>
      <c r="G19" s="549">
        <v>1942</v>
      </c>
      <c r="H19" s="549">
        <v>992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4158</v>
      </c>
      <c r="D22" s="46">
        <v>5233</v>
      </c>
      <c r="E22" s="304" t="s">
        <v>326</v>
      </c>
      <c r="F22" s="551" t="s">
        <v>327</v>
      </c>
      <c r="G22" s="549">
        <v>24</v>
      </c>
      <c r="H22" s="549">
        <v>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56</v>
      </c>
      <c r="D24" s="46">
        <v>2</v>
      </c>
      <c r="E24" s="301" t="s">
        <v>103</v>
      </c>
      <c r="F24" s="553" t="s">
        <v>334</v>
      </c>
      <c r="G24" s="547">
        <f>SUM(G19:G23)</f>
        <v>1966</v>
      </c>
      <c r="H24" s="547">
        <f>SUM(H19:H23)</f>
        <v>995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26</v>
      </c>
      <c r="D25" s="46">
        <v>25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4240</v>
      </c>
      <c r="D26" s="49">
        <f>SUM(D22:D25)</f>
        <v>5260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119923</v>
      </c>
      <c r="D28" s="50">
        <f>D26+D19</f>
        <v>71366</v>
      </c>
      <c r="E28" s="127" t="s">
        <v>339</v>
      </c>
      <c r="F28" s="553" t="s">
        <v>340</v>
      </c>
      <c r="G28" s="547">
        <f>G13+G15+G24</f>
        <v>79683</v>
      </c>
      <c r="H28" s="547">
        <f>H13+H15+H24</f>
        <v>63164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40240</v>
      </c>
      <c r="H30" s="53">
        <f>IF((D28-H28)&gt;0,D28-H28,0)</f>
        <v>8202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857</v>
      </c>
      <c r="B31" s="306" t="s">
        <v>345</v>
      </c>
      <c r="C31" s="46"/>
      <c r="D31" s="46"/>
      <c r="E31" s="296" t="s">
        <v>860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119923</v>
      </c>
      <c r="D33" s="49">
        <f>D28-D31+D32</f>
        <v>71366</v>
      </c>
      <c r="E33" s="127" t="s">
        <v>353</v>
      </c>
      <c r="F33" s="553" t="s">
        <v>354</v>
      </c>
      <c r="G33" s="53">
        <f>G32-G31+G28</f>
        <v>79683</v>
      </c>
      <c r="H33" s="53">
        <f>H32-H31+H28</f>
        <v>63164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40240</v>
      </c>
      <c r="H34" s="547">
        <f>IF((D33-H33)&gt;0,D33-H33,0)</f>
        <v>8202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529</v>
      </c>
      <c r="D35" s="49">
        <f>D36+D37+D38</f>
        <v>-829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529</v>
      </c>
      <c r="D36" s="46">
        <v>456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>
        <v>-1285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40769</v>
      </c>
      <c r="H39" s="558">
        <f>IF(H34&gt;0,IF(D35+H34&lt;0,0,D35+H34),IF(D34-D35&lt;0,D35-D34,0))</f>
        <v>7373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40769</v>
      </c>
      <c r="H41" s="52">
        <f>IF(D39=0,IF(H39-H40&gt;0,H39-H40+D40,0),IF(D39-D40&lt;0,D40-D39+H40,0))</f>
        <v>7373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120452</v>
      </c>
      <c r="D42" s="53">
        <f>D33+D35+D39</f>
        <v>70537</v>
      </c>
      <c r="E42" s="128" t="s">
        <v>380</v>
      </c>
      <c r="F42" s="129" t="s">
        <v>381</v>
      </c>
      <c r="G42" s="53">
        <f>G39+G33</f>
        <v>120452</v>
      </c>
      <c r="H42" s="53">
        <f>H39+H33</f>
        <v>70537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785</v>
      </c>
      <c r="D50" s="583"/>
      <c r="E50" s="583"/>
      <c r="F50" s="583"/>
      <c r="G50" s="583"/>
      <c r="H50" s="58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B30" sqref="B3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375" style="542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НУРТС България АД</v>
      </c>
      <c r="C4" s="540" t="s">
        <v>2</v>
      </c>
      <c r="D4" s="540">
        <f>'справка №1-БАЛАНС'!H3</f>
        <v>201105038</v>
      </c>
      <c r="E4" s="323"/>
      <c r="F4" s="323"/>
    </row>
    <row r="5" spans="1:4" ht="13.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>
        <f>'справка №1-БАЛАНС'!H4</f>
        <v>1582</v>
      </c>
    </row>
    <row r="6" spans="1:6" ht="12" customHeight="1">
      <c r="A6" s="471" t="s">
        <v>5</v>
      </c>
      <c r="B6" s="505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54565</v>
      </c>
      <c r="D10" s="54">
        <v>54123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-26377</v>
      </c>
      <c r="D11" s="54">
        <v>-34509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-7024</v>
      </c>
      <c r="D13" s="54">
        <v>-7373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-5611</v>
      </c>
      <c r="D14" s="54">
        <v>-1843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-344</v>
      </c>
      <c r="D15" s="54">
        <v>-1085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-2313</v>
      </c>
      <c r="D19" s="54">
        <v>547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12896</v>
      </c>
      <c r="D20" s="55">
        <f>SUM(D10:D19)</f>
        <v>9860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-2752</v>
      </c>
      <c r="D22" s="54">
        <v>-20504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-566</v>
      </c>
      <c r="D24" s="54">
        <v>-32285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29337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>
        <v>2934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-3318</v>
      </c>
      <c r="D32" s="55">
        <f>SUM(D22:D31)</f>
        <v>-20518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-12366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>
        <v>-94</v>
      </c>
      <c r="D38" s="54">
        <v>-89</v>
      </c>
      <c r="E38" s="130"/>
      <c r="F38" s="130"/>
    </row>
    <row r="39" spans="1:6" ht="12">
      <c r="A39" s="332" t="s">
        <v>443</v>
      </c>
      <c r="B39" s="333" t="s">
        <v>444</v>
      </c>
      <c r="C39" s="54">
        <v>-3216</v>
      </c>
      <c r="D39" s="54">
        <v>-4759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>
        <v>-1019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-26</v>
      </c>
      <c r="D41" s="54">
        <v>-164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-15702</v>
      </c>
      <c r="D42" s="55">
        <f>SUM(D34:D41)</f>
        <v>-6031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-6124</v>
      </c>
      <c r="D43" s="55">
        <f>D42+D32+D20</f>
        <v>-16689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11293</v>
      </c>
      <c r="D44" s="132">
        <v>27982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5169</v>
      </c>
      <c r="D45" s="55">
        <f>D44+D43</f>
        <v>11293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5169</v>
      </c>
      <c r="D46" s="56">
        <v>11293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28" sqref="I28"/>
    </sheetView>
  </sheetViews>
  <sheetFormatPr defaultColWidth="9.375" defaultRowHeight="12.75"/>
  <cols>
    <col min="1" max="1" width="48.50390625" style="538" customWidth="1"/>
    <col min="2" max="2" width="8.375" style="539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1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1" t="str">
        <f>'справка №1-БАЛАНС'!E3</f>
        <v>НУРТС България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201105038</v>
      </c>
      <c r="N3" s="2"/>
    </row>
    <row r="4" spans="1:15" s="531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1582</v>
      </c>
      <c r="N4" s="3"/>
      <c r="O4" s="3"/>
    </row>
    <row r="5" spans="1:14" s="531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2" customFormat="1" ht="57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151482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1041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-9587</v>
      </c>
      <c r="K11" s="60"/>
      <c r="L11" s="344">
        <f>SUM(C11:K11)</f>
        <v>142936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151482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1041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-9587</v>
      </c>
      <c r="K15" s="61">
        <f t="shared" si="2"/>
        <v>0</v>
      </c>
      <c r="L15" s="344">
        <f t="shared" si="1"/>
        <v>142936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-40769</v>
      </c>
      <c r="K16" s="60"/>
      <c r="L16" s="344">
        <f t="shared" si="1"/>
        <v>-40769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415</v>
      </c>
      <c r="G17" s="62">
        <f t="shared" si="3"/>
        <v>0</v>
      </c>
      <c r="H17" s="62">
        <f t="shared" si="3"/>
        <v>0</v>
      </c>
      <c r="I17" s="62">
        <f t="shared" si="3"/>
        <v>-12350</v>
      </c>
      <c r="J17" s="62">
        <f>J18+J19</f>
        <v>0</v>
      </c>
      <c r="K17" s="62">
        <f t="shared" si="3"/>
        <v>0</v>
      </c>
      <c r="L17" s="344">
        <f t="shared" si="1"/>
        <v>-11935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-11935</v>
      </c>
      <c r="J18" s="60"/>
      <c r="K18" s="60"/>
      <c r="L18" s="344">
        <f t="shared" si="1"/>
        <v>-11935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415</v>
      </c>
      <c r="G19" s="60"/>
      <c r="H19" s="60"/>
      <c r="I19" s="60">
        <v>-415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102</v>
      </c>
      <c r="J28" s="60"/>
      <c r="K28" s="60"/>
      <c r="L28" s="344">
        <f t="shared" si="1"/>
        <v>102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151482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1456</v>
      </c>
      <c r="G29" s="59">
        <f t="shared" si="6"/>
        <v>0</v>
      </c>
      <c r="H29" s="59">
        <f t="shared" si="6"/>
        <v>0</v>
      </c>
      <c r="I29" s="59">
        <f t="shared" si="6"/>
        <v>-12248</v>
      </c>
      <c r="J29" s="59">
        <f t="shared" si="6"/>
        <v>-50356</v>
      </c>
      <c r="K29" s="59">
        <f t="shared" si="6"/>
        <v>0</v>
      </c>
      <c r="L29" s="344">
        <f t="shared" si="1"/>
        <v>90334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151482</v>
      </c>
      <c r="D32" s="59">
        <f t="shared" si="7"/>
        <v>0</v>
      </c>
      <c r="E32" s="59">
        <f t="shared" si="7"/>
        <v>0</v>
      </c>
      <c r="F32" s="59">
        <f t="shared" si="7"/>
        <v>1456</v>
      </c>
      <c r="G32" s="59">
        <f t="shared" si="7"/>
        <v>0</v>
      </c>
      <c r="H32" s="59">
        <f t="shared" si="7"/>
        <v>0</v>
      </c>
      <c r="I32" s="59">
        <f t="shared" si="7"/>
        <v>-12248</v>
      </c>
      <c r="J32" s="59">
        <f t="shared" si="7"/>
        <v>-50356</v>
      </c>
      <c r="K32" s="59">
        <f t="shared" si="7"/>
        <v>0</v>
      </c>
      <c r="L32" s="344">
        <f t="shared" si="1"/>
        <v>90334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">
      <selection activeCell="R14" sqref="R1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НУРТС България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201105038</v>
      </c>
      <c r="P2" s="483"/>
      <c r="Q2" s="483"/>
      <c r="R2" s="525"/>
    </row>
    <row r="3" spans="1:18" ht="13.5">
      <c r="A3" s="608" t="s">
        <v>5</v>
      </c>
      <c r="B3" s="609"/>
      <c r="C3" s="611" t="str">
        <f>'справка №1-БАЛАНС'!E5</f>
        <v>01.01.2014-31.12.2014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1582</v>
      </c>
      <c r="P3" s="486"/>
      <c r="Q3" s="486"/>
      <c r="R3" s="526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5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1.25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18623</v>
      </c>
      <c r="E9" s="189">
        <v>2</v>
      </c>
      <c r="F9" s="189">
        <v>6126</v>
      </c>
      <c r="G9" s="74">
        <f>D9+E9-F9</f>
        <v>12499</v>
      </c>
      <c r="H9" s="65"/>
      <c r="I9" s="65">
        <v>2832</v>
      </c>
      <c r="J9" s="74">
        <f>G9+H9-I9</f>
        <v>9667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9667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31112</v>
      </c>
      <c r="E10" s="189">
        <f>165+350+12</f>
        <v>527</v>
      </c>
      <c r="F10" s="189">
        <v>2240</v>
      </c>
      <c r="G10" s="74">
        <f aca="true" t="shared" si="2" ref="G10:G39">D10+E10-F10</f>
        <v>29399</v>
      </c>
      <c r="H10" s="65"/>
      <c r="I10" s="65">
        <f>8-1</f>
        <v>7</v>
      </c>
      <c r="J10" s="74">
        <f aca="true" t="shared" si="3" ref="J10:J39">G10+H10-I10</f>
        <v>29392</v>
      </c>
      <c r="K10" s="65">
        <v>4273</v>
      </c>
      <c r="L10" s="65">
        <f>1262+3-1</f>
        <v>1264</v>
      </c>
      <c r="M10" s="65">
        <v>383</v>
      </c>
      <c r="N10" s="74">
        <f aca="true" t="shared" si="4" ref="N10:N39">K10+L10-M10</f>
        <v>5154</v>
      </c>
      <c r="O10" s="65"/>
      <c r="P10" s="65"/>
      <c r="Q10" s="74">
        <f t="shared" si="0"/>
        <v>5154</v>
      </c>
      <c r="R10" s="74">
        <f t="shared" si="1"/>
        <v>24238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44523</v>
      </c>
      <c r="E11" s="189">
        <v>1794</v>
      </c>
      <c r="F11" s="189">
        <v>13401</v>
      </c>
      <c r="G11" s="74">
        <f t="shared" si="2"/>
        <v>32916</v>
      </c>
      <c r="H11" s="65"/>
      <c r="I11" s="65">
        <f>2371-1823</f>
        <v>548</v>
      </c>
      <c r="J11" s="74">
        <f t="shared" si="3"/>
        <v>32368</v>
      </c>
      <c r="K11" s="65">
        <v>19784</v>
      </c>
      <c r="L11" s="65">
        <v>3194</v>
      </c>
      <c r="M11" s="65">
        <v>9734</v>
      </c>
      <c r="N11" s="74">
        <f t="shared" si="4"/>
        <v>13244</v>
      </c>
      <c r="O11" s="65"/>
      <c r="P11" s="65"/>
      <c r="Q11" s="74">
        <f t="shared" si="0"/>
        <v>13244</v>
      </c>
      <c r="R11" s="74">
        <f t="shared" si="1"/>
        <v>19124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f>115748+69</f>
        <v>115817</v>
      </c>
      <c r="E12" s="189">
        <f>193+520-12</f>
        <v>701</v>
      </c>
      <c r="F12" s="189">
        <f>3754+4</f>
        <v>3758</v>
      </c>
      <c r="G12" s="74">
        <f t="shared" si="2"/>
        <v>112760</v>
      </c>
      <c r="H12" s="65"/>
      <c r="I12" s="65">
        <f>502-443+36940</f>
        <v>36999</v>
      </c>
      <c r="J12" s="74">
        <f t="shared" si="3"/>
        <v>75761</v>
      </c>
      <c r="K12" s="65">
        <f>23230+70</f>
        <v>23300</v>
      </c>
      <c r="L12" s="65">
        <f>1270+9271+129</f>
        <v>10670</v>
      </c>
      <c r="M12" s="65">
        <f>3967+4</f>
        <v>3971</v>
      </c>
      <c r="N12" s="74">
        <f t="shared" si="4"/>
        <v>29999</v>
      </c>
      <c r="O12" s="65"/>
      <c r="P12" s="65"/>
      <c r="Q12" s="74">
        <f t="shared" si="0"/>
        <v>29999</v>
      </c>
      <c r="R12" s="74">
        <f t="shared" si="1"/>
        <v>45762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559</v>
      </c>
      <c r="E13" s="189">
        <v>73</v>
      </c>
      <c r="F13" s="189">
        <v>20</v>
      </c>
      <c r="G13" s="74">
        <f t="shared" si="2"/>
        <v>612</v>
      </c>
      <c r="H13" s="65"/>
      <c r="I13" s="65"/>
      <c r="J13" s="74">
        <f t="shared" si="3"/>
        <v>612</v>
      </c>
      <c r="K13" s="65">
        <v>213</v>
      </c>
      <c r="L13" s="65">
        <v>70</v>
      </c>
      <c r="M13" s="65">
        <v>18</v>
      </c>
      <c r="N13" s="74">
        <f t="shared" si="4"/>
        <v>265</v>
      </c>
      <c r="O13" s="65"/>
      <c r="P13" s="65"/>
      <c r="Q13" s="74">
        <f t="shared" si="0"/>
        <v>265</v>
      </c>
      <c r="R13" s="74">
        <f t="shared" si="1"/>
        <v>347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567</v>
      </c>
      <c r="E14" s="189">
        <v>6</v>
      </c>
      <c r="F14" s="189">
        <v>52</v>
      </c>
      <c r="G14" s="74">
        <f t="shared" si="2"/>
        <v>521</v>
      </c>
      <c r="H14" s="65"/>
      <c r="I14" s="65"/>
      <c r="J14" s="74">
        <f t="shared" si="3"/>
        <v>521</v>
      </c>
      <c r="K14" s="65">
        <v>225</v>
      </c>
      <c r="L14" s="65">
        <f>54+8</f>
        <v>62</v>
      </c>
      <c r="M14" s="65">
        <v>34</v>
      </c>
      <c r="N14" s="74">
        <f t="shared" si="4"/>
        <v>253</v>
      </c>
      <c r="O14" s="65"/>
      <c r="P14" s="65"/>
      <c r="Q14" s="74">
        <f t="shared" si="0"/>
        <v>253</v>
      </c>
      <c r="R14" s="74">
        <f t="shared" si="1"/>
        <v>268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865</v>
      </c>
      <c r="B15" s="374" t="s">
        <v>866</v>
      </c>
      <c r="C15" s="456" t="s">
        <v>867</v>
      </c>
      <c r="D15" s="457">
        <v>1016</v>
      </c>
      <c r="E15" s="457">
        <f>988+343</f>
        <v>1331</v>
      </c>
      <c r="F15" s="457">
        <f>1052+468</f>
        <v>1520</v>
      </c>
      <c r="G15" s="74">
        <f t="shared" si="2"/>
        <v>827</v>
      </c>
      <c r="H15" s="458"/>
      <c r="I15" s="458"/>
      <c r="J15" s="74">
        <f t="shared" si="3"/>
        <v>827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827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212217</v>
      </c>
      <c r="E17" s="194">
        <f>SUM(E9:E16)</f>
        <v>4434</v>
      </c>
      <c r="F17" s="194">
        <f>SUM(F9:F16)</f>
        <v>27117</v>
      </c>
      <c r="G17" s="74">
        <f t="shared" si="2"/>
        <v>189534</v>
      </c>
      <c r="H17" s="75">
        <f>SUM(H9:H16)</f>
        <v>0</v>
      </c>
      <c r="I17" s="75">
        <f>SUM(I9:I16)</f>
        <v>40386</v>
      </c>
      <c r="J17" s="74">
        <f t="shared" si="3"/>
        <v>149148</v>
      </c>
      <c r="K17" s="75">
        <f>SUM(K9:K16)</f>
        <v>47795</v>
      </c>
      <c r="L17" s="75">
        <f>SUM(L9:L16)</f>
        <v>15260</v>
      </c>
      <c r="M17" s="75">
        <f>SUM(M9:M16)</f>
        <v>14140</v>
      </c>
      <c r="N17" s="74">
        <f t="shared" si="4"/>
        <v>48915</v>
      </c>
      <c r="O17" s="75">
        <f>SUM(O9:O16)</f>
        <v>0</v>
      </c>
      <c r="P17" s="75">
        <f>SUM(P9:P16)</f>
        <v>0</v>
      </c>
      <c r="Q17" s="74">
        <f t="shared" si="5"/>
        <v>48915</v>
      </c>
      <c r="R17" s="74">
        <f t="shared" si="6"/>
        <v>100233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607</v>
      </c>
      <c r="E22" s="189">
        <v>58</v>
      </c>
      <c r="F22" s="189">
        <v>51</v>
      </c>
      <c r="G22" s="74">
        <f t="shared" si="2"/>
        <v>614</v>
      </c>
      <c r="H22" s="65"/>
      <c r="I22" s="65"/>
      <c r="J22" s="74">
        <f t="shared" si="3"/>
        <v>614</v>
      </c>
      <c r="K22" s="65">
        <v>290</v>
      </c>
      <c r="L22" s="65">
        <f>134+4</f>
        <v>138</v>
      </c>
      <c r="M22" s="65">
        <v>51</v>
      </c>
      <c r="N22" s="74">
        <f t="shared" si="4"/>
        <v>377</v>
      </c>
      <c r="O22" s="65"/>
      <c r="P22" s="65"/>
      <c r="Q22" s="74">
        <f t="shared" si="5"/>
        <v>377</v>
      </c>
      <c r="R22" s="74">
        <f t="shared" si="6"/>
        <v>237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f>21944-3317</f>
        <v>18627</v>
      </c>
      <c r="E24" s="189"/>
      <c r="F24" s="189"/>
      <c r="G24" s="74">
        <f t="shared" si="2"/>
        <v>18627</v>
      </c>
      <c r="H24" s="65"/>
      <c r="I24" s="65">
        <v>5239</v>
      </c>
      <c r="J24" s="74">
        <f t="shared" si="3"/>
        <v>13388</v>
      </c>
      <c r="K24" s="65">
        <f>4640-810</f>
        <v>3830</v>
      </c>
      <c r="L24" s="65">
        <f>612+188+892+16</f>
        <v>1708</v>
      </c>
      <c r="M24" s="65">
        <v>10</v>
      </c>
      <c r="N24" s="74">
        <f t="shared" si="4"/>
        <v>5528</v>
      </c>
      <c r="O24" s="65"/>
      <c r="P24" s="65"/>
      <c r="Q24" s="74">
        <f t="shared" si="5"/>
        <v>5528</v>
      </c>
      <c r="R24" s="74">
        <f t="shared" si="6"/>
        <v>7860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19234</v>
      </c>
      <c r="E25" s="190">
        <f aca="true" t="shared" si="7" ref="E25:P25">SUM(E21:E24)</f>
        <v>58</v>
      </c>
      <c r="F25" s="190">
        <f t="shared" si="7"/>
        <v>51</v>
      </c>
      <c r="G25" s="67">
        <f t="shared" si="2"/>
        <v>19241</v>
      </c>
      <c r="H25" s="66">
        <f t="shared" si="7"/>
        <v>0</v>
      </c>
      <c r="I25" s="66">
        <f t="shared" si="7"/>
        <v>5239</v>
      </c>
      <c r="J25" s="67">
        <f t="shared" si="3"/>
        <v>14002</v>
      </c>
      <c r="K25" s="66">
        <f t="shared" si="7"/>
        <v>4120</v>
      </c>
      <c r="L25" s="66">
        <f t="shared" si="7"/>
        <v>1846</v>
      </c>
      <c r="M25" s="66">
        <f t="shared" si="7"/>
        <v>61</v>
      </c>
      <c r="N25" s="67">
        <f t="shared" si="4"/>
        <v>5905</v>
      </c>
      <c r="O25" s="66">
        <f t="shared" si="7"/>
        <v>0</v>
      </c>
      <c r="P25" s="66">
        <f t="shared" si="7"/>
        <v>0</v>
      </c>
      <c r="Q25" s="67">
        <f t="shared" si="5"/>
        <v>5905</v>
      </c>
      <c r="R25" s="67">
        <f t="shared" si="6"/>
        <v>8097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604</v>
      </c>
      <c r="B39" s="370" t="s">
        <v>605</v>
      </c>
      <c r="C39" s="369" t="s">
        <v>606</v>
      </c>
      <c r="D39" s="571">
        <v>4979</v>
      </c>
      <c r="E39" s="571"/>
      <c r="F39" s="571"/>
      <c r="G39" s="74">
        <f t="shared" si="2"/>
        <v>4979</v>
      </c>
      <c r="H39" s="571"/>
      <c r="I39" s="571">
        <f>640+2298</f>
        <v>2938</v>
      </c>
      <c r="J39" s="74">
        <f t="shared" si="3"/>
        <v>2041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2041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236430</v>
      </c>
      <c r="E40" s="438">
        <f>E17+E18+E19+E25+E38+E39</f>
        <v>4492</v>
      </c>
      <c r="F40" s="438">
        <f aca="true" t="shared" si="13" ref="F40:R40">F17+F18+F19+F25+F38+F39</f>
        <v>27168</v>
      </c>
      <c r="G40" s="438">
        <f t="shared" si="13"/>
        <v>213754</v>
      </c>
      <c r="H40" s="438">
        <f t="shared" si="13"/>
        <v>0</v>
      </c>
      <c r="I40" s="438">
        <f t="shared" si="13"/>
        <v>48563</v>
      </c>
      <c r="J40" s="438">
        <f t="shared" si="13"/>
        <v>165191</v>
      </c>
      <c r="K40" s="438">
        <f t="shared" si="13"/>
        <v>51915</v>
      </c>
      <c r="L40" s="438">
        <f t="shared" si="13"/>
        <v>17106</v>
      </c>
      <c r="M40" s="438">
        <f t="shared" si="13"/>
        <v>14201</v>
      </c>
      <c r="N40" s="438">
        <f t="shared" si="13"/>
        <v>54820</v>
      </c>
      <c r="O40" s="438">
        <f t="shared" si="13"/>
        <v>0</v>
      </c>
      <c r="P40" s="438">
        <f t="shared" si="13"/>
        <v>0</v>
      </c>
      <c r="Q40" s="438">
        <f t="shared" si="13"/>
        <v>54820</v>
      </c>
      <c r="R40" s="438">
        <f t="shared" si="13"/>
        <v>110371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C96" sqref="AC96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385</v>
      </c>
      <c r="B3" s="618" t="str">
        <f>'справка №1-БАЛАНС'!E3</f>
        <v>НУРТС България АД</v>
      </c>
      <c r="C3" s="619"/>
      <c r="D3" s="525" t="s">
        <v>2</v>
      </c>
      <c r="E3" s="107">
        <f>'справка №1-БАЛАНС'!H3</f>
        <v>201105038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6" t="str">
        <f>'справка №1-БАЛАНС'!E5</f>
        <v>01.01.2014-31.12.2014</v>
      </c>
      <c r="C4" s="617"/>
      <c r="D4" s="526" t="s">
        <v>4</v>
      </c>
      <c r="E4" s="107">
        <f>'справка №1-БАЛАНС'!H4</f>
        <v>1582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1.25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701</v>
      </c>
      <c r="D16" s="119">
        <f>+D17+D18</f>
        <v>0</v>
      </c>
      <c r="E16" s="120">
        <f t="shared" si="0"/>
        <v>701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701</v>
      </c>
      <c r="D18" s="108"/>
      <c r="E18" s="120">
        <f t="shared" si="0"/>
        <v>701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701</v>
      </c>
      <c r="D19" s="104">
        <f>D11+D15+D16</f>
        <v>0</v>
      </c>
      <c r="E19" s="118">
        <f>E11+E15+E16</f>
        <v>701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3017</v>
      </c>
      <c r="D21" s="108"/>
      <c r="E21" s="120">
        <f t="shared" si="0"/>
        <v>3017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15032</v>
      </c>
      <c r="D28" s="108">
        <v>15032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237</v>
      </c>
      <c r="D29" s="108">
        <v>237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584</v>
      </c>
      <c r="D33" s="105">
        <f>SUM(D34:D37)</f>
        <v>584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584</v>
      </c>
      <c r="D34" s="108">
        <v>584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1315</v>
      </c>
      <c r="D38" s="105">
        <f>SUM(D39:D42)</f>
        <v>1315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1315</v>
      </c>
      <c r="D42" s="108">
        <v>1315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17168</v>
      </c>
      <c r="D43" s="104">
        <f>D24+D28+D29+D31+D30+D32+D33+D38</f>
        <v>17168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20886</v>
      </c>
      <c r="D44" s="103">
        <f>D43+D21+D19+D9</f>
        <v>17168</v>
      </c>
      <c r="E44" s="118">
        <f>E43+E21+E19+E9</f>
        <v>3718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1.25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12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2549</v>
      </c>
      <c r="D64" s="108"/>
      <c r="E64" s="119">
        <f t="shared" si="1"/>
        <v>2549</v>
      </c>
      <c r="F64" s="110"/>
    </row>
    <row r="65" spans="1:6" ht="12">
      <c r="A65" s="396" t="s">
        <v>712</v>
      </c>
      <c r="B65" s="397" t="s">
        <v>713</v>
      </c>
      <c r="C65" s="109">
        <v>38</v>
      </c>
      <c r="D65" s="109"/>
      <c r="E65" s="119">
        <f t="shared" si="1"/>
        <v>38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2549</v>
      </c>
      <c r="D66" s="103">
        <f>D52+D56+D61+D62+D63+D64</f>
        <v>0</v>
      </c>
      <c r="E66" s="119">
        <f t="shared" si="1"/>
        <v>2549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12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71</v>
      </c>
      <c r="D75" s="103">
        <f>D76+D78</f>
        <v>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71</v>
      </c>
      <c r="D78" s="108">
        <v>71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3028</v>
      </c>
      <c r="D85" s="104">
        <f>SUM(D86:D90)+D94</f>
        <v>3028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1625</v>
      </c>
      <c r="D87" s="108">
        <v>1625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689</v>
      </c>
      <c r="D89" s="108">
        <v>689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464</v>
      </c>
      <c r="D90" s="103">
        <f>SUM(D91:D93)</f>
        <v>464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365</v>
      </c>
      <c r="D92" s="108">
        <v>365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f>464-365</f>
        <v>99</v>
      </c>
      <c r="D93" s="108">
        <v>99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250</v>
      </c>
      <c r="D94" s="108">
        <v>250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42919</v>
      </c>
      <c r="D95" s="108">
        <v>42919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46018</v>
      </c>
      <c r="D96" s="104">
        <f>D85+D80+D75+D71+D95</f>
        <v>46018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48567</v>
      </c>
      <c r="D97" s="104">
        <f>D96+D68+D66</f>
        <v>46018</v>
      </c>
      <c r="E97" s="104">
        <f>E96+E68+E66</f>
        <v>2549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2.5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79</v>
      </c>
      <c r="D103" s="108">
        <v>56</v>
      </c>
      <c r="E103" s="108">
        <v>72</v>
      </c>
      <c r="F103" s="125">
        <f>C103+D103-E103</f>
        <v>63</v>
      </c>
    </row>
    <row r="104" spans="1:6" ht="12">
      <c r="A104" s="396" t="s">
        <v>778</v>
      </c>
      <c r="B104" s="397" t="s">
        <v>779</v>
      </c>
      <c r="C104" s="108">
        <v>109</v>
      </c>
      <c r="D104" s="108">
        <v>46</v>
      </c>
      <c r="E104" s="108"/>
      <c r="F104" s="125">
        <f>C104+D104-E104</f>
        <v>155</v>
      </c>
    </row>
    <row r="105" spans="1:16" ht="12">
      <c r="A105" s="412" t="s">
        <v>780</v>
      </c>
      <c r="B105" s="395" t="s">
        <v>781</v>
      </c>
      <c r="C105" s="103">
        <f>SUM(C102:C104)</f>
        <v>188</v>
      </c>
      <c r="D105" s="103">
        <f>SUM(D102:D104)</f>
        <v>102</v>
      </c>
      <c r="E105" s="103">
        <f>SUM(E102:E104)</f>
        <v>72</v>
      </c>
      <c r="F105" s="103">
        <f>SUM(F102:F104)</f>
        <v>218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625" defaultRowHeight="12.75"/>
  <cols>
    <col min="1" max="1" width="52.625" style="107" customWidth="1"/>
    <col min="2" max="2" width="9.125" style="523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НУРТС България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201105038</v>
      </c>
    </row>
    <row r="5" spans="1:9" ht="13.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1582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19" customFormat="1" ht="11.25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3.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70" zoomScaleNormal="70" zoomScalePageLayoutView="0" workbookViewId="0" topLeftCell="A1">
      <selection activeCell="A13" sqref="A13"/>
    </sheetView>
  </sheetViews>
  <sheetFormatPr defaultColWidth="10.625" defaultRowHeight="12.75"/>
  <cols>
    <col min="1" max="1" width="42.00390625" style="508" customWidth="1"/>
    <col min="2" max="2" width="8.125" style="518" customWidth="1"/>
    <col min="3" max="3" width="19.625" style="508" customWidth="1"/>
    <col min="4" max="4" width="20.125" style="508" customWidth="1"/>
    <col min="5" max="5" width="23.625" style="508" customWidth="1"/>
    <col min="6" max="6" width="19.625" style="508" customWidth="1"/>
    <col min="7" max="16384" width="10.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НУРТС България АД</v>
      </c>
      <c r="C5" s="627"/>
      <c r="D5" s="627"/>
      <c r="E5" s="569" t="s">
        <v>2</v>
      </c>
      <c r="F5" s="451">
        <f>'справка №1-БАЛАНС'!H3</f>
        <v>201105038</v>
      </c>
    </row>
    <row r="6" spans="1:13" ht="15" customHeight="1">
      <c r="A6" s="27" t="s">
        <v>826</v>
      </c>
      <c r="B6" s="628" t="str">
        <f>'справка №1-БАЛАНС'!E5</f>
        <v>01.01.2014-31.12.2014</v>
      </c>
      <c r="C6" s="628"/>
      <c r="D6" s="509"/>
      <c r="E6" s="568" t="s">
        <v>4</v>
      </c>
      <c r="F6" s="510">
        <f>'справка №1-БАЛАНС'!H4</f>
        <v>1582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2.5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545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9" t="s">
        <v>862</v>
      </c>
      <c r="D153" s="629"/>
      <c r="E153" s="629"/>
      <c r="F153" s="629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Nikolova</cp:lastModifiedBy>
  <cp:lastPrinted>2014-04-27T13:43:25Z</cp:lastPrinted>
  <dcterms:created xsi:type="dcterms:W3CDTF">2000-06-29T12:02:40Z</dcterms:created>
  <dcterms:modified xsi:type="dcterms:W3CDTF">2015-03-02T08:20:29Z</dcterms:modified>
  <cp:category/>
  <cp:version/>
  <cp:contentType/>
  <cp:contentStatus/>
</cp:coreProperties>
</file>