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<sst xmlns="http://schemas.openxmlformats.org/spreadsheetml/2006/main" count="1051" uniqueCount="872">
  <si>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</si>
  <si>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</si>
  <si>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</si>
  <si>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</si>
  <si>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</si>
  <si>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</si>
  <si>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</si>
  <si>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</si>
  <si>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</si>
  <si>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</si>
  <si>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</si>
  <si>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</si>
  <si>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</si>
  <si>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</si>
  <si>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</si>
  <si>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</si>
  <si>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</si>
  <si>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</si>
  <si>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</si>
  <si>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</si>
  <si>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</si>
  <si>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</si>
  <si>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</si>
  <si>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</si>
  <si>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</si>
  <si>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</si>
  <si>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</si>
  <si>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</si>
  <si>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</si>
  <si>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</si>
  <si>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</si>
  <si>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</si>
  <si>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</si>
  <si>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</si>
  <si>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</si>
  <si>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</si>
  <si>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</si>
  <si>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</si>
  <si>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</si>
  <si>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</si>
  <si>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</si>
  <si>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</si>
  <si>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</si>
  <si>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</si>
  <si>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</si>
  <si>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</si>
  <si>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</si>
  <si>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</si>
  <si>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</si>
  <si>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</si>
  <si>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</si>
  <si>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</si>
  <si>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</si>
  <si>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</si>
  <si>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</si>
  <si>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</si>
  <si>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</si>
  <si>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</si>
  <si>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</si>
  <si>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</si>
  <si>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</si>
  <si>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</si>
  <si>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</si>
  <si>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</si>
  <si>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</si>
  <si>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</si>
  <si>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</si>
  <si>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</si>
  <si>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</si>
  <si>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</si>
  <si>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</si>
  <si>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</si>
  <si>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</si>
  <si>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</si>
  <si>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</si>
  <si>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</si>
  <si>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</si>
  <si>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</si>
  <si>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</si>
  <si>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</si>
  <si>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</si>
  <si>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</si>
  <si>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</si>
  <si>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</si>
  <si>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</si>
  <si>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</si>
  <si>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</si>
  <si>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</si>
  <si>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</si>
  <si>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</si>
  <si>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</si>
  <si>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</si>
  <si>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</si>
  <si>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</si>
  <si>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</si>
  <si>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</si>
  <si>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</si>
  <si>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</si>
  <si>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</si>
  <si>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</si>
  <si>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</si>
  <si>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</si>
  <si>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</si>
  <si>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</si>
  <si>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</si>
  <si>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</si>
  <si>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</si>
  <si>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</si>
  <si>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</si>
  <si>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</si>
  <si>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</si>
  <si>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</si>
  <si>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</si>
  <si>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</si>
  <si>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</si>
  <si>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</si>
  <si>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</si>
  <si>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</si>
  <si>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</si>
  <si>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</si>
  <si>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</si>
  <si>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</si>
  <si>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</si>
  <si>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</si>
  <si>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</si>
  <si>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</si>
  <si>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</si>
  <si>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</si>
  <si>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</si>
  <si>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</si>
  <si>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</si>
  <si>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</si>
  <si>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</si>
  <si>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</si>
  <si>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</si>
  <si>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</si>
  <si>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</si>
  <si>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</si>
  <si>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</si>
  <si>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</si>
  <si>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</si>
  <si>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</si>
  <si>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</si>
  <si>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</si>
  <si>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</si>
  <si>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</si>
  <si>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</si>
  <si>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</si>
  <si>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</si>
  <si>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</si>
  <si>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</si>
  <si>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</si>
  <si>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</si>
  <si>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</si>
  <si>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</si>
  <si>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</si>
  <si>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</si>
  <si>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</si>
  <si>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</si>
  <si>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</si>
  <si>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</si>
  <si>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</si>
  <si>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</si>
  <si>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</si>
  <si>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</si>
  <si>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</si>
  <si>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</si>
  <si>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</si>
  <si>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</si>
  <si>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</si>
  <si>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</si>
  <si>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</si>
  <si>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</si>
  <si>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</si>
  <si>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</si>
  <si>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</si>
  <si>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</si>
  <si>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</si>
  <si>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</si>
  <si>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</si>
  <si>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</si>
  <si>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</si>
  <si>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</si>
  <si>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</si>
  <si>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</si>
  <si>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</si>
  <si>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</si>
  <si>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</si>
  <si>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</si>
  <si>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</si>
  <si>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</si>
  <si>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</si>
  <si>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</si>
  <si>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</si>
  <si>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</si>
  <si>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</si>
  <si>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</si>
  <si>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</si>
  <si>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</si>
  <si>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</si>
  <si>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</si>
  <si>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</si>
  <si>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</si>
  <si>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</si>
  <si>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</si>
  <si>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</si>
  <si>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</si>
  <si>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</si>
  <si>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</si>
  <si>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</si>
  <si>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</si>
  <si>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</si>
  <si>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</si>
  <si>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</si>
  <si>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</si>
  <si>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</si>
  <si>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</si>
  <si>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</si>
  <si>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</si>
  <si>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</si>
  <si>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</si>
  <si>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</si>
  <si>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</si>
  <si>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</si>
  <si>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</si>
  <si>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</si>
  <si>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</si>
  <si>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</si>
  <si>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</si>
  <si>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</si>
  <si>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</si>
  <si>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</si>
  <si>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</si>
  <si>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</si>
  <si>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</si>
  <si>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</si>
  <si>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</si>
  <si>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</si>
  <si>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</si>
  <si>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</si>
  <si>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</si>
  <si>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</si>
  <si>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</si>
  <si>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</si>
  <si>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</si>
  <si>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</si>
  <si>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</si>
  <si>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</si>
  <si>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</si>
  <si>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</si>
  <si>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</si>
  <si>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</si>
  <si>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</si>
  <si>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</si>
  <si>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</si>
  <si>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</si>
  <si>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</si>
  <si>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</si>
  <si>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</si>
  <si>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</si>
  <si>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</si>
  <si>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</si>
  <si>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</si>
  <si>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</si>
  <si>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</si>
  <si>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</si>
  <si>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</si>
  <si>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</si>
  <si>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</si>
  <si>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</si>
  <si>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</si>
  <si>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</si>
  <si>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</si>
  <si>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</si>
  <si>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</si>
  <si>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</si>
  <si>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</si>
  <si>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</si>
  <si>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</si>
  <si>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</si>
  <si>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</si>
  <si>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</si>
  <si>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</si>
  <si>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</si>
  <si>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</si>
  <si>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</si>
  <si>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</si>
  <si>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</si>
  <si>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</si>
  <si>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</si>
  <si>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</si>
  <si>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</si>
  <si>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</si>
  <si>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</si>
  <si>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</si>
  <si>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</si>
  <si>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</si>
  <si>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</si>
  <si>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</si>
  <si>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</si>
  <si>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</si>
  <si>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</si>
  <si>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</si>
  <si>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</si>
  <si>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</si>
  <si>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</si>
  <si>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</si>
  <si>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</si>
  <si>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</si>
  <si>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</si>
  <si>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</si>
  <si>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</si>
  <si>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</si>
  <si>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</si>
  <si>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</si>
  <si>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</si>
  <si>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</si>
  <si>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</si>
  <si>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</si>
  <si>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</si>
  <si>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</si>
  <si>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</si>
  <si>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</si>
  <si>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</si>
  <si>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</si>
  <si>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</si>
  <si>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</si>
  <si>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</si>
  <si>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</si>
  <si>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</si>
  <si>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</si>
  <si>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</si>
  <si>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</si>
  <si>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</si>
  <si>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</si>
  <si>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</si>
  <si>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</si>
  <si>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</si>
  <si>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</si>
  <si>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</si>
  <si>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</si>
  <si>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</si>
  <si>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</si>
  <si>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</si>
  <si>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</si>
  <si>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</si>
  <si>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</si>
  <si>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</si>
  <si>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</si>
  <si>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</si>
  <si>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</si>
  <si>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</si>
  <si>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</si>
  <si>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</si>
  <si>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</si>
  <si>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</si>
  <si>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</si>
  <si>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</si>
  <si>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</si>
  <si>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</si>
  <si>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</si>
  <si>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</si>
  <si>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</si>
  <si>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</si>
  <si>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</si>
  <si>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</si>
  <si>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</si>
  <si>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</si>
  <si>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</si>
  <si>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</si>
  <si>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</si>
  <si>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</si>
  <si>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</si>
  <si>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</si>
  <si>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</si>
  <si>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</si>
  <si>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</si>
  <si>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</si>
  <si>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</si>
  <si>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</si>
  <si>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</si>
  <si>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</si>
  <si>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</si>
  <si>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</si>
  <si>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</si>
  <si>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</si>
  <si>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</si>
  <si>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</si>
  <si>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</si>
  <si>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</si>
  <si>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</si>
  <si>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</si>
  <si>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</si>
  <si>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</si>
  <si>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</si>
  <si>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</si>
  <si>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</si>
  <si>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</si>
  <si>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</si>
  <si>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</si>
  <si>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</si>
  <si>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</si>
  <si>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</si>
  <si>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</si>
  <si>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</si>
  <si>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</si>
  <si>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</si>
  <si>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</si>
  <si>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</si>
  <si>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</si>
  <si>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</si>
  <si>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</si>
  <si>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</si>
  <si>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</si>
  <si>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</si>
  <si>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</si>
  <si>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</si>
  <si>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</si>
  <si>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</si>
  <si>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</si>
  <si>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</si>
  <si>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</si>
  <si>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</si>
  <si>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</si>
  <si>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</si>
  <si>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</si>
  <si>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</si>
  <si>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</si>
  <si>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</si>
  <si>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</si>
  <si>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</si>
  <si>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</si>
  <si>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</si>
  <si>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</si>
  <si>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</si>
  <si>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</si>
  <si>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</si>
  <si>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</si>
  <si>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</si>
  <si>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</si>
  <si>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</si>
  <si>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</si>
  <si>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</si>
  <si>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</si>
  <si>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</si>
  <si>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</si>
  <si>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</si>
  <si>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</si>
  <si>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</si>
  <si>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</si>
  <si>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</si>
  <si>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</si>
  <si>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</si>
  <si>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</si>
  <si>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</si>
  <si>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</si>
  <si>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</si>
  <si>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</si>
  <si>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</si>
  <si>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</si>
  <si>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</si>
  <si>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</si>
  <si>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</si>
  <si>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</si>
  <si>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</si>
  <si>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</si>
  <si>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</si>
  <si>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</si>
  <si>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</si>
  <si>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</si>
  <si>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</si>
  <si>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</si>
  <si>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</si>
  <si>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</si>
  <si>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</si>
  <si>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</si>
  <si>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</si>
  <si>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</si>
  <si>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</si>
  <si>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</si>
  <si>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</si>
  <si>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</si>
  <si>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</si>
  <si>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</si>
  <si>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</si>
  <si>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</si>
  <si>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</si>
  <si>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</si>
  <si>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</si>
  <si>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</si>
  <si>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</si>
  <si>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</si>
  <si>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</si>
  <si>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</si>
  <si>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</si>
  <si>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</si>
  <si>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</si>
  <si>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</si>
  <si>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</si>
  <si>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</si>
  <si>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</si>
  <si>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</si>
  <si>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</si>
  <si>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</si>
  <si>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</si>
  <si>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</si>
  <si>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</si>
  <si>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</si>
  <si>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</si>
  <si>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</si>
  <si>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</si>
  <si>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</si>
  <si>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</si>
  <si>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</si>
  <si>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</si>
  <si>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</si>
  <si>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</si>
  <si>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</si>
  <si>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</si>
  <si>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</si>
  <si>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</si>
  <si>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</si>
  <si>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</si>
  <si>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</si>
  <si>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</si>
  <si>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</si>
  <si>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</si>
  <si>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</si>
  <si>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</si>
  <si>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</si>
  <si>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</si>
  <si>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</si>
  <si>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</si>
  <si>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</si>
  <si>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</si>
  <si>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</si>
  <si>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</si>
  <si>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</si>
  <si>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</si>
  <si>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</si>
  <si>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</si>
  <si>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</si>
  <si>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</si>
  <si>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</si>
  <si>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</si>
  <si>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</si>
  <si>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</si>
  <si>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</si>
  <si>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</si>
  <si>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</si>
  <si>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</si>
  <si>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</si>
  <si>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</si>
  <si>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</si>
  <si>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</si>
  <si>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</si>
  <si>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</si>
  <si>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</si>
  <si>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</si>
  <si>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</si>
  <si>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</si>
  <si>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</si>
  <si>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</si>
  <si>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</si>
  <si>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</si>
  <si>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</si>
  <si>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</si>
  <si>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</si>
  <si>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</si>
  <si>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</si>
  <si>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</si>
  <si>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</si>
  <si>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</si>
  <si>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</si>
  <si>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</si>
  <si>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</si>
  <si>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</si>
  <si>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</si>
  <si>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</si>
  <si>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</si>
  <si>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</si>
  <si>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</si>
  <si>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</si>
  <si>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</si>
  <si>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</si>
  <si>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</si>
  <si>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</si>
  <si>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</si>
  <si>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</si>
  <si>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</si>
  <si>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</si>
  <si>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</si>
  <si>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</si>
  <si>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</si>
  <si>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</si>
  <si>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</si>
  <si>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</si>
  <si>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</si>
  <si>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</si>
  <si>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</si>
  <si>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</si>
  <si>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</si>
  <si>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</si>
  <si>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</si>
  <si>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</si>
  <si>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</si>
  <si>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</si>
  <si>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</si>
  <si>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</si>
  <si>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</si>
  <si>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</si>
  <si>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</si>
  <si>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</si>
  <si>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</si>
  <si>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</si>
  <si>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</si>
  <si>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</si>
  <si>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</si>
  <si>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</si>
  <si>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</si>
  <si>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</si>
  <si>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</si>
  <si>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</si>
  <si>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</si>
  <si>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</si>
  <si>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</si>
  <si>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</si>
  <si>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</si>
  <si>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</si>
  <si>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</si>
  <si>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</si>
  <si>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</si>
  <si>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</si>
  <si>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</si>
  <si>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</si>
  <si>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</si>
  <si>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</si>
  <si>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</si>
  <si>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</si>
  <si>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</si>
  <si>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</si>
  <si>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</si>
  <si>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</si>
  <si>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</si>
  <si>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</si>
  <si>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</si>
  <si>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</si>
  <si>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</si>
  <si>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</si>
  <si>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</si>
  <si>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</si>
  <si>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</si>
  <si>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</si>
  <si>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</si>
  <si>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</si>
  <si>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</si>
  <si>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</si>
  <si>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</si>
  <si>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</si>
  <si>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</si>
  <si>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</si>
  <si>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</si>
  <si>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</si>
  <si>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</si>
  <si>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</si>
  <si>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</si>
  <si>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</si>
  <si>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</si>
  <si>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</si>
  <si>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</si>
  <si>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</si>
  <si>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</si>
  <si>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</si>
  <si>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</si>
  <si>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</si>
  <si>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</si>
  <si>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</si>
  <si>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</si>
  <si>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</si>
  <si>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</si>
  <si>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</si>
  <si>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</si>
  <si>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</si>
  <si>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</si>
  <si>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</si>
  <si>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</si>
  <si>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</si>
  <si>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</si>
  <si>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</si>
  <si>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</si>
  <si>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</si>
  <si>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</si>
  <si>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</si>
  <si>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</si>
  <si>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</si>
  <si>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</si>
  <si>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</si>
  <si>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</si>
  <si>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</si>
  <si>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</si>
  <si>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</si>
  <si>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</si>
  <si>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</si>
  <si>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</si>
  <si>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</si>
  <si>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</si>
  <si>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</si>
  <si>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</si>
  <si>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</si>
  <si>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</si>
  <si>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</si>
  <si>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</si>
  <si>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</si>
  <si>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</si>
  <si>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</si>
  <si>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</si>
  <si>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</si>
  <si>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</si>
  <si>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</si>
  <si>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</si>
  <si>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</si>
  <si>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</si>
  <si>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</si>
  <si>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</si>
  <si>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</si>
  <si>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</si>
  <si>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</si>
  <si>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</si>
  <si>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</si>
  <si>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</si>
  <si>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</si>
  <si>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</si>
  <si>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</si>
  <si>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</si>
  <si>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</si>
  <si>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</si>
  <si>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</si>
  <si>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</si>
  <si>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</si>
  <si>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</si>
  <si>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</si>
  <si>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</si>
  <si>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</si>
  <si>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</si>
  <si>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</si>
  <si>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</si>
  <si>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</si>
  <si>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</si>
  <si>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</si>
  <si>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</si>
  <si>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</si>
  <si>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</si>
  <si>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</si>
  <si>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</si>
  <si>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</si>
  <si>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</si>
  <si>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</si>
  <si>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</si>
  <si>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</si>
  <si>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</si>
  <si>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</si>
  <si>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</si>
  <si>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</si>
  <si>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</si>
  <si>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</si>
  <si>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</si>
  <si>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</si>
  <si>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</si>
  <si>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</si>
  <si>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</si>
  <si>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</si>
  <si>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</si>
  <si>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</si>
  <si>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</si>
  <si>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</si>
  <si>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</si>
  <si>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</si>
  <si>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</si>
  <si>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</si>
  <si>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</si>
  <si>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</si>
  <si>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</si>
  <si>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</si>
  <si>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</si>
  <si>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</si>
  <si>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</si>
  <si>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</si>
  <si>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</si>
  <si>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</si>
  <si>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</si>
  <si>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</si>
  <si>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</si>
  <si>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</si>
  <si>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</si>
  <si>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</si>
  <si>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</si>
  <si>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</si>
  <si>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</si>
  <si>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</si>
  <si>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</si>
  <si>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</si>
  <si>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</si>
  <si>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</si>
  <si>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</si>
  <si>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</si>
  <si>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</si>
  <si>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</si>
  <si>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</si>
  <si>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</si>
  <si>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</si>
  <si>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</si>
  <si>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</si>
  <si>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</si>
  <si>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</si>
  <si>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</si>
  <si>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</si>
  <si>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</si>
  <si>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</si>
  <si>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</si>
  <si>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</si>
  <si>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</si>
  <si>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</si>
  <si>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</si>
  <si>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</si>
  <si>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</si>
  <si>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</si>
  <si>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</si>
  <si>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</si>
  <si>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</si>
  <si>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</si>
  <si>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</si>
  <si>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</si>
  <si>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</si>
  <si>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</si>
  <si>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</si>
  <si>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</si>
  <si>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</si>
  <si>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</si>
  <si>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</si>
  <si>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</si>
  <si>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</si>
  <si>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</si>
  <si>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</si>
  <si>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</si>
  <si>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</si>
  <si>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</si>
  <si>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</si>
  <si>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</si>
  <si>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</si>
  <si>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</si>
  <si>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</si>
  <si>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</si>
  <si>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</si>
  <si>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</si>
  <si>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</si>
  <si>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</si>
  <si>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</si>
  <si>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</si>
  <si>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</si>
  <si>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</si>
  <si>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</si>
  <si>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</si>
  <si>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</si>
  <si>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</si>
  <si>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</si>
  <si>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</si>
  <si>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Уеб Финанс Холдинг АД</t>
  </si>
  <si>
    <r>
      <t>Дата на съставяне:</t>
    </r>
    <r>
      <rPr>
        <sz val="10"/>
        <rFont val="Times New Roman"/>
        <family val="1"/>
      </rPr>
      <t xml:space="preserve"> </t>
    </r>
  </si>
  <si>
    <t>01.01.2016-30.06.2016</t>
  </si>
  <si>
    <t>Дата на съставяне: 25.08.2016</t>
  </si>
  <si>
    <t>Дата на съставяне:         25.08.2016</t>
  </si>
  <si>
    <t>Дата  на съставяне: 25.08.2016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</si>
</sst>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1" xfId="24" applyFont="1" applyBorder="1" applyAlignment="1" quotePrefix="1">
      <alignment horizontal="left" vertical="center" wrapText="1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6" applyFont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24" applyNumberFormat="1" applyFont="1" applyBorder="1" applyAlignment="1">
      <alignment horizontal="right" vertical="center" wrapText="1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4">
      <selection activeCell="E96" sqref="E96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866</v>
      </c>
      <c r="F3" s="217" t="s">
        <v>2</v>
      </c>
      <c r="G3" s="172"/>
      <c r="H3" s="461">
        <v>103765841</v>
      </c>
    </row>
    <row r="4" spans="1:8" ht="15">
      <c r="A4" s="587" t="s">
        <v>3</v>
      </c>
      <c r="B4" s="585"/>
      <c r="C4" s="585"/>
      <c r="D4" s="585"/>
      <c r="E4" s="504" t="s">
        <v>865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82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5201</v>
      </c>
      <c r="D11" s="151">
        <v>5201</v>
      </c>
      <c r="E11" s="237" t="s">
        <v>22</v>
      </c>
      <c r="F11" s="242" t="s">
        <v>23</v>
      </c>
      <c r="G11" s="152">
        <v>7633</v>
      </c>
      <c r="H11" s="152">
        <v>7633</v>
      </c>
    </row>
    <row r="12" spans="1:8" ht="15">
      <c r="A12" s="235" t="s">
        <v>24</v>
      </c>
      <c r="B12" s="241" t="s">
        <v>25</v>
      </c>
      <c r="C12" s="151">
        <v>17113</v>
      </c>
      <c r="D12" s="151">
        <v>17113</v>
      </c>
      <c r="E12" s="237" t="s">
        <v>26</v>
      </c>
      <c r="F12" s="242" t="s">
        <v>27</v>
      </c>
      <c r="G12" s="153">
        <v>7633</v>
      </c>
      <c r="H12" s="153">
        <v>7633</v>
      </c>
    </row>
    <row r="13" spans="1:8" ht="15">
      <c r="A13" s="235" t="s">
        <v>28</v>
      </c>
      <c r="B13" s="241" t="s">
        <v>29</v>
      </c>
      <c r="C13" s="151">
        <v>3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234</v>
      </c>
      <c r="D17" s="151">
        <v>234</v>
      </c>
      <c r="E17" s="243" t="s">
        <v>46</v>
      </c>
      <c r="F17" s="245" t="s">
        <v>47</v>
      </c>
      <c r="G17" s="154">
        <f>G11+G14+G15+G16</f>
        <v>7633</v>
      </c>
      <c r="H17" s="154">
        <f>H11+H14+H15+H16</f>
        <v>7633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92</v>
      </c>
      <c r="D18" s="151">
        <v>107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22643</v>
      </c>
      <c r="D19" s="155">
        <f>SUM(D11:D18)</f>
        <v>22658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16501</v>
      </c>
      <c r="D20" s="151">
        <v>16533</v>
      </c>
      <c r="E20" s="237" t="s">
        <v>57</v>
      </c>
      <c r="F20" s="242" t="s">
        <v>58</v>
      </c>
      <c r="G20" s="158">
        <f>1916+203</f>
        <v>2119</v>
      </c>
      <c r="H20" s="158">
        <v>1925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17164</v>
      </c>
      <c r="H21" s="156">
        <f>SUM(H22:H24)</f>
        <v>4655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361</v>
      </c>
      <c r="H22" s="152">
        <v>361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16803</v>
      </c>
      <c r="H23" s="152">
        <v>4294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19283</v>
      </c>
      <c r="H25" s="154">
        <f>H19+H20+H21</f>
        <v>6580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1083</v>
      </c>
      <c r="D26" s="151">
        <v>1230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1083</v>
      </c>
      <c r="D27" s="155">
        <f>SUM(D23:D26)</f>
        <v>1230</v>
      </c>
      <c r="E27" s="253" t="s">
        <v>83</v>
      </c>
      <c r="F27" s="242" t="s">
        <v>84</v>
      </c>
      <c r="G27" s="154">
        <f>SUM(G28:G30)</f>
        <v>29031</v>
      </c>
      <c r="H27" s="154">
        <f>SUM(H28:H30)</f>
        <v>9184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29031+800</f>
        <v>29831</v>
      </c>
      <c r="H28" s="152">
        <f>9913+800-729</f>
        <v>9984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-800</v>
      </c>
      <c r="H29" s="316">
        <v>-800</v>
      </c>
      <c r="M29" s="157"/>
    </row>
    <row r="30" spans="1:8" ht="15">
      <c r="A30" s="235" t="s">
        <v>90</v>
      </c>
      <c r="B30" s="241" t="s">
        <v>91</v>
      </c>
      <c r="C30" s="151">
        <v>681</v>
      </c>
      <c r="D30" s="151">
        <v>659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20112</v>
      </c>
      <c r="M31" s="157"/>
    </row>
    <row r="32" spans="1:15" ht="15">
      <c r="A32" s="235" t="s">
        <v>98</v>
      </c>
      <c r="B32" s="250" t="s">
        <v>99</v>
      </c>
      <c r="C32" s="155">
        <f>C30+C31</f>
        <v>681</v>
      </c>
      <c r="D32" s="155">
        <f>D30+D31</f>
        <v>659</v>
      </c>
      <c r="E32" s="243" t="s">
        <v>100</v>
      </c>
      <c r="F32" s="242" t="s">
        <v>101</v>
      </c>
      <c r="G32" s="316">
        <v>-542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28489</v>
      </c>
      <c r="H33" s="154">
        <f>H27+H31+H32</f>
        <v>29296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38991</v>
      </c>
      <c r="D34" s="155">
        <f>SUM(D35:D38)</f>
        <v>32573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55405</v>
      </c>
      <c r="H36" s="154">
        <f>H25+H17+H33</f>
        <v>43509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f>57227-11010-7226</f>
        <v>38991</v>
      </c>
      <c r="D38" s="151">
        <v>32573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11010</v>
      </c>
      <c r="D39" s="159">
        <f>D40+D41+D43</f>
        <v>505</v>
      </c>
      <c r="E39" s="445" t="s">
        <v>118</v>
      </c>
      <c r="F39" s="261" t="s">
        <v>119</v>
      </c>
      <c r="G39" s="158">
        <v>233</v>
      </c>
      <c r="H39" s="158">
        <v>313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11010</v>
      </c>
      <c r="D40" s="151">
        <v>505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7226</v>
      </c>
      <c r="D44" s="151">
        <v>3982</v>
      </c>
      <c r="E44" s="268" t="s">
        <v>134</v>
      </c>
      <c r="F44" s="242" t="s">
        <v>135</v>
      </c>
      <c r="G44" s="152">
        <f>20833+22400</f>
        <v>43233</v>
      </c>
      <c r="H44" s="152">
        <v>44487</v>
      </c>
    </row>
    <row r="45" spans="1:15" ht="15">
      <c r="A45" s="235" t="s">
        <v>136</v>
      </c>
      <c r="B45" s="249" t="s">
        <v>137</v>
      </c>
      <c r="C45" s="155">
        <f>C34+C39+C44</f>
        <v>57227</v>
      </c>
      <c r="D45" s="155">
        <f>D34+D39+D44</f>
        <v>37060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25374</v>
      </c>
      <c r="H47" s="152">
        <v>27330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14543+96</f>
        <v>14639</v>
      </c>
      <c r="H48" s="152">
        <f>1271+15907</f>
        <v>17178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83246</v>
      </c>
      <c r="H49" s="154">
        <f>SUM(H43:H48)</f>
        <v>88995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1469</v>
      </c>
      <c r="D50" s="151">
        <v>3353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1469</v>
      </c>
      <c r="D51" s="155">
        <f>SUM(D47:D50)</f>
        <v>3353</v>
      </c>
      <c r="E51" s="251" t="s">
        <v>157</v>
      </c>
      <c r="F51" s="245" t="s">
        <v>158</v>
      </c>
      <c r="G51" s="152">
        <v>40</v>
      </c>
      <c r="H51" s="152">
        <v>19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473</v>
      </c>
      <c r="H53" s="152">
        <v>473</v>
      </c>
    </row>
    <row r="54" spans="1:8" ht="27">
      <c r="A54" s="235" t="s">
        <v>166</v>
      </c>
      <c r="B54" s="249" t="s">
        <v>167</v>
      </c>
      <c r="C54" s="151">
        <v>16</v>
      </c>
      <c r="D54" s="151">
        <v>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99620</v>
      </c>
      <c r="D55" s="155">
        <f>D19+D20+D21+D27+D32+D45+D51+D53+D54</f>
        <v>81509</v>
      </c>
      <c r="E55" s="237" t="s">
        <v>172</v>
      </c>
      <c r="F55" s="261" t="s">
        <v>173</v>
      </c>
      <c r="G55" s="154">
        <f>G49+G51+G52+G53+G54</f>
        <v>83759</v>
      </c>
      <c r="H55" s="154">
        <f>H49+H51+H52+H53+H54</f>
        <v>89487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3946</v>
      </c>
      <c r="D58" s="151">
        <v>4306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2665</v>
      </c>
      <c r="H59" s="152">
        <v>4573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4417</v>
      </c>
      <c r="H60" s="152">
        <v>5218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14857</v>
      </c>
      <c r="H61" s="154">
        <f>SUM(H62:H68)</f>
        <v>29225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707+77+150</f>
        <v>934</v>
      </c>
      <c r="H63" s="152">
        <v>18148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3946</v>
      </c>
      <c r="D64" s="155">
        <f>SUM(D58:D63)</f>
        <v>4306</v>
      </c>
      <c r="E64" s="237" t="s">
        <v>200</v>
      </c>
      <c r="F64" s="242" t="s">
        <v>201</v>
      </c>
      <c r="G64" s="152">
        <f>13509-3318</f>
        <v>10191</v>
      </c>
      <c r="H64" s="152">
        <f>131+5733</f>
        <v>5864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3318</v>
      </c>
      <c r="H65" s="152">
        <v>4648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365+17</f>
        <v>382</v>
      </c>
      <c r="H66" s="152">
        <v>151</v>
      </c>
    </row>
    <row r="67" spans="1:8" ht="15">
      <c r="A67" s="235" t="s">
        <v>207</v>
      </c>
      <c r="B67" s="241" t="s">
        <v>208</v>
      </c>
      <c r="C67" s="151">
        <v>18483</v>
      </c>
      <c r="D67" s="151">
        <v>7559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3954</v>
      </c>
      <c r="D68" s="151">
        <f>2156+258</f>
        <v>2414</v>
      </c>
      <c r="E68" s="237" t="s">
        <v>213</v>
      </c>
      <c r="F68" s="242" t="s">
        <v>214</v>
      </c>
      <c r="G68" s="152">
        <v>32</v>
      </c>
      <c r="H68" s="152">
        <f>264+150</f>
        <v>414</v>
      </c>
    </row>
    <row r="69" spans="1:8" ht="15">
      <c r="A69" s="235" t="s">
        <v>215</v>
      </c>
      <c r="B69" s="241" t="s">
        <v>216</v>
      </c>
      <c r="C69" s="151">
        <v>2521</v>
      </c>
      <c r="D69" s="151">
        <v>2536</v>
      </c>
      <c r="E69" s="251" t="s">
        <v>78</v>
      </c>
      <c r="F69" s="242" t="s">
        <v>217</v>
      </c>
      <c r="G69" s="152">
        <f>1208-707-77-150+2115</f>
        <v>2389</v>
      </c>
      <c r="H69" s="152">
        <v>379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v>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24328</v>
      </c>
      <c r="H71" s="161">
        <f>H59+H60+H61+H69+H70</f>
        <v>39402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23446-2521-286+642</f>
        <v>21281</v>
      </c>
      <c r="D74" s="151">
        <f>242+2177</f>
        <v>2419</v>
      </c>
      <c r="E74" s="237" t="s">
        <v>231</v>
      </c>
      <c r="F74" s="280" t="s">
        <v>232</v>
      </c>
      <c r="G74" s="152">
        <v>39</v>
      </c>
      <c r="H74" s="152">
        <v>36</v>
      </c>
    </row>
    <row r="75" spans="1:15" ht="15">
      <c r="A75" s="235" t="s">
        <v>76</v>
      </c>
      <c r="B75" s="249" t="s">
        <v>233</v>
      </c>
      <c r="C75" s="155">
        <f>SUM(C67:C74)</f>
        <v>46249</v>
      </c>
      <c r="D75" s="155">
        <f>SUM(D67:D74)</f>
        <v>14937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12241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>
        <v>10990</v>
      </c>
      <c r="E79" s="251" t="s">
        <v>242</v>
      </c>
      <c r="F79" s="261" t="s">
        <v>243</v>
      </c>
      <c r="G79" s="162">
        <f>G71+G74+G75+G76</f>
        <v>24367</v>
      </c>
      <c r="H79" s="162">
        <f>H71+H74+H75+H76</f>
        <v>39438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>
        <v>1251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>
        <v>11691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11226</v>
      </c>
      <c r="D83" s="151">
        <f>15654+15158+12254</f>
        <v>43066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11226</v>
      </c>
      <c r="D84" s="155">
        <f>D83+D82+D78</f>
        <v>66998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60</v>
      </c>
      <c r="D87" s="151">
        <v>53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2437-60</f>
        <v>2377</v>
      </c>
      <c r="D88" s="151">
        <v>4588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2437</v>
      </c>
      <c r="D91" s="155">
        <f>SUM(D87:D90)</f>
        <v>4641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286</v>
      </c>
      <c r="D92" s="151">
        <v>356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64144</v>
      </c>
      <c r="D93" s="155">
        <f>D64+D75+D84+D91+D92</f>
        <v>91238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163764</v>
      </c>
      <c r="D94" s="164">
        <f>D93+D55</f>
        <v>172747</v>
      </c>
      <c r="E94" s="449" t="s">
        <v>270</v>
      </c>
      <c r="F94" s="289" t="s">
        <v>271</v>
      </c>
      <c r="G94" s="165">
        <f>G36+G39+G55+G79</f>
        <v>163764</v>
      </c>
      <c r="H94" s="165">
        <f>H36+H39+H55+H79</f>
        <v>172747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575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576"/>
      <c r="M97" s="157"/>
    </row>
    <row r="98" spans="1:13" ht="15">
      <c r="A98" s="45" t="s">
        <v>869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3" bottom="0.21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H41" sqref="H4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625" style="544" customWidth="1"/>
    <col min="5" max="5" width="37.375" style="567" customWidth="1"/>
    <col min="6" max="6" width="9.00390625" style="567" customWidth="1"/>
    <col min="7" max="7" width="11.625" style="544" customWidth="1"/>
    <col min="8" max="8" width="13.125" style="544" customWidth="1"/>
    <col min="9" max="16384" width="9.37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2" t="str">
        <f>'справка №1-БАЛАНС'!E3</f>
        <v>Уеб Финанс Холдинг АД</v>
      </c>
      <c r="C2" s="592"/>
      <c r="D2" s="592"/>
      <c r="E2" s="592"/>
      <c r="F2" s="594" t="s">
        <v>2</v>
      </c>
      <c r="G2" s="594"/>
      <c r="H2" s="525">
        <f>'справка №1-БАЛАНС'!H3</f>
        <v>103765841</v>
      </c>
    </row>
    <row r="3" spans="1:8" ht="15">
      <c r="A3" s="467" t="s">
        <v>275</v>
      </c>
      <c r="B3" s="592" t="str">
        <f>'справка №1-БАЛАНС'!E4</f>
        <v>консолидиран</v>
      </c>
      <c r="C3" s="592"/>
      <c r="D3" s="592"/>
      <c r="E3" s="592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3" t="str">
        <f>'справка №1-БАЛАНС'!E5</f>
        <v>01.01.2016-30.06.2016</v>
      </c>
      <c r="C4" s="593"/>
      <c r="D4" s="59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50</v>
      </c>
      <c r="D9" s="46">
        <v>27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985</v>
      </c>
      <c r="D10" s="46">
        <v>797</v>
      </c>
      <c r="E10" s="298" t="s">
        <v>289</v>
      </c>
      <c r="F10" s="548" t="s">
        <v>290</v>
      </c>
      <c r="G10" s="549">
        <v>24</v>
      </c>
      <c r="H10" s="549">
        <v>959</v>
      </c>
    </row>
    <row r="11" spans="1:8" ht="12">
      <c r="A11" s="298" t="s">
        <v>291</v>
      </c>
      <c r="B11" s="299" t="s">
        <v>292</v>
      </c>
      <c r="C11" s="46">
        <v>524</v>
      </c>
      <c r="D11" s="46">
        <v>137</v>
      </c>
      <c r="E11" s="300" t="s">
        <v>293</v>
      </c>
      <c r="F11" s="548" t="s">
        <v>294</v>
      </c>
      <c r="G11" s="549"/>
      <c r="H11" s="549">
        <v>812</v>
      </c>
    </row>
    <row r="12" spans="1:8" ht="12">
      <c r="A12" s="298" t="s">
        <v>295</v>
      </c>
      <c r="B12" s="299" t="s">
        <v>296</v>
      </c>
      <c r="C12" s="46">
        <v>746</v>
      </c>
      <c r="D12" s="46">
        <v>625</v>
      </c>
      <c r="E12" s="300" t="s">
        <v>78</v>
      </c>
      <c r="F12" s="548" t="s">
        <v>297</v>
      </c>
      <c r="G12" s="549">
        <v>1944</v>
      </c>
      <c r="H12" s="549"/>
    </row>
    <row r="13" spans="1:18" ht="12">
      <c r="A13" s="298" t="s">
        <v>298</v>
      </c>
      <c r="B13" s="299" t="s">
        <v>299</v>
      </c>
      <c r="C13" s="46">
        <v>100</v>
      </c>
      <c r="D13" s="46">
        <v>75</v>
      </c>
      <c r="E13" s="301" t="s">
        <v>51</v>
      </c>
      <c r="F13" s="550" t="s">
        <v>300</v>
      </c>
      <c r="G13" s="547">
        <f>SUM(G9:G12)</f>
        <v>1968</v>
      </c>
      <c r="H13" s="547">
        <f>SUM(H9:H12)</f>
        <v>1771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24">
      <c r="A14" s="298" t="s">
        <v>301</v>
      </c>
      <c r="B14" s="299" t="s">
        <v>302</v>
      </c>
      <c r="C14" s="46">
        <v>25</v>
      </c>
      <c r="D14" s="46">
        <v>1386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199</v>
      </c>
      <c r="D16" s="47">
        <v>120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2629</v>
      </c>
      <c r="D19" s="49">
        <f>SUM(D9:D15)+D16</f>
        <v>3167</v>
      </c>
      <c r="E19" s="304" t="s">
        <v>317</v>
      </c>
      <c r="F19" s="551" t="s">
        <v>318</v>
      </c>
      <c r="G19" s="549">
        <v>1137</v>
      </c>
      <c r="H19" s="549">
        <v>1466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6451</v>
      </c>
      <c r="H21" s="549">
        <v>4677</v>
      </c>
    </row>
    <row r="22" spans="1:8" ht="24">
      <c r="A22" s="304" t="s">
        <v>324</v>
      </c>
      <c r="B22" s="305" t="s">
        <v>325</v>
      </c>
      <c r="C22" s="46">
        <v>3074</v>
      </c>
      <c r="D22" s="46">
        <v>3417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>
        <v>3806</v>
      </c>
      <c r="D23" s="46">
        <v>1506</v>
      </c>
      <c r="E23" s="298" t="s">
        <v>330</v>
      </c>
      <c r="F23" s="551" t="s">
        <v>331</v>
      </c>
      <c r="G23" s="549">
        <f>2994+17</f>
        <v>3011</v>
      </c>
      <c r="H23" s="549">
        <v>1524</v>
      </c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10599</v>
      </c>
      <c r="H24" s="547">
        <f>SUM(H19:H23)</f>
        <v>7667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f>3779+76</f>
        <v>3855</v>
      </c>
      <c r="D25" s="46">
        <v>1550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10735</v>
      </c>
      <c r="D26" s="49">
        <f>SUM(D22:D25)</f>
        <v>6473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24">
      <c r="A28" s="127" t="s">
        <v>337</v>
      </c>
      <c r="B28" s="293" t="s">
        <v>338</v>
      </c>
      <c r="C28" s="50">
        <f>C26+C19</f>
        <v>13364</v>
      </c>
      <c r="D28" s="50">
        <f>D26+D19</f>
        <v>9640</v>
      </c>
      <c r="E28" s="127" t="s">
        <v>339</v>
      </c>
      <c r="F28" s="553" t="s">
        <v>340</v>
      </c>
      <c r="G28" s="547">
        <f>G13+G15+G24</f>
        <v>12567</v>
      </c>
      <c r="H28" s="547">
        <f>H13+H15+H24</f>
        <v>9438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797</v>
      </c>
      <c r="H30" s="53">
        <f>IF((D28-H28)&gt;0,D28-H28,0)</f>
        <v>202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>
        <v>176</v>
      </c>
      <c r="D31" s="46">
        <v>201</v>
      </c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13188</v>
      </c>
      <c r="D33" s="49">
        <f>D28-D31+D32</f>
        <v>9439</v>
      </c>
      <c r="E33" s="127" t="s">
        <v>353</v>
      </c>
      <c r="F33" s="553" t="s">
        <v>354</v>
      </c>
      <c r="G33" s="53">
        <f>G32-G31+G28</f>
        <v>12567</v>
      </c>
      <c r="H33" s="53">
        <f>H32-H31+H28</f>
        <v>9438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621</v>
      </c>
      <c r="H34" s="547">
        <f>IF((D33-H33)&gt;0,D33-H33,0)</f>
        <v>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621</v>
      </c>
      <c r="H39" s="558">
        <f>IF(H34&gt;0,IF(D35+H34&lt;0,0,D35+H34),IF(D34-D35&lt;0,D35-D34,0))</f>
        <v>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>
        <v>12</v>
      </c>
      <c r="E40" s="127" t="s">
        <v>371</v>
      </c>
      <c r="F40" s="557" t="s">
        <v>373</v>
      </c>
      <c r="G40" s="549">
        <v>79</v>
      </c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542</v>
      </c>
      <c r="H41" s="52">
        <f>IF(D39=0,IF(H39-H40&gt;0,H39-H40+D40,0),IF(D39-D40&lt;0,D40-D39+H40,0))</f>
        <v>13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13188</v>
      </c>
      <c r="D42" s="53">
        <f>D33+D35+D39</f>
        <v>9439</v>
      </c>
      <c r="E42" s="128" t="s">
        <v>380</v>
      </c>
      <c r="F42" s="129" t="s">
        <v>381</v>
      </c>
      <c r="G42" s="53">
        <f>G39+G33</f>
        <v>13188</v>
      </c>
      <c r="H42" s="53">
        <f>H39+H33</f>
        <v>9439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9">
        <v>42607</v>
      </c>
      <c r="C48" s="427" t="s">
        <v>382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H31" sqref="H3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375" style="542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Уеб Финанс Холдинг АД</v>
      </c>
      <c r="C4" s="540" t="s">
        <v>2</v>
      </c>
      <c r="D4" s="540">
        <f>'справка №1-БАЛАНС'!H3</f>
        <v>103765841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6911+2271</f>
        <v>9182</v>
      </c>
      <c r="D10" s="54">
        <v>2359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-9375-1618</f>
        <v>-10993</v>
      </c>
      <c r="D11" s="54">
        <v>-3748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>
        <v>6200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-866</v>
      </c>
      <c r="D13" s="54">
        <v>-853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-127</v>
      </c>
      <c r="D14" s="54">
        <v>-144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-62</v>
      </c>
      <c r="D15" s="54">
        <v>-86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-599+2575+1111-913</f>
        <v>2174</v>
      </c>
      <c r="D19" s="54">
        <v>327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-692</v>
      </c>
      <c r="D20" s="55">
        <f>SUM(D10:D19)</f>
        <v>4055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-362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-511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537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670</v>
      </c>
      <c r="D26" s="54">
        <v>11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-91404</v>
      </c>
      <c r="D27" s="54">
        <v>-1377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97884</v>
      </c>
      <c r="D28" s="54">
        <v>3407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164</v>
      </c>
      <c r="D29" s="54">
        <v>276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134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7314</v>
      </c>
      <c r="D32" s="55">
        <f>SUM(D22:D31)</f>
        <v>2115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1550</v>
      </c>
      <c r="D36" s="54">
        <v>10860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-7219</v>
      </c>
      <c r="D37" s="54">
        <v>-12982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-3146</v>
      </c>
      <c r="D39" s="54">
        <v>-2224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-11</v>
      </c>
      <c r="D41" s="54">
        <v>-268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-8826</v>
      </c>
      <c r="D42" s="55">
        <f>SUM(D34:D41)</f>
        <v>-4614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-2204</v>
      </c>
      <c r="D43" s="55">
        <f>D42+D32+D20</f>
        <v>1556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f>4737-96</f>
        <v>4641</v>
      </c>
      <c r="D44" s="132">
        <v>1768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2437</v>
      </c>
      <c r="D45" s="55">
        <f>D44+D43</f>
        <v>3324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2437</v>
      </c>
      <c r="D46" s="56">
        <v>3324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8" bottom="0.5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N11" sqref="N11"/>
    </sheetView>
  </sheetViews>
  <sheetFormatPr defaultColWidth="9.00390625" defaultRowHeight="12.75"/>
  <cols>
    <col min="1" max="1" width="48.50390625" style="538" customWidth="1"/>
    <col min="2" max="2" width="8.375" style="539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1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9" t="str">
        <f>'справка №1-БАЛАНС'!E3</f>
        <v>Уеб Финанс Холдинг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103765841</v>
      </c>
      <c r="N3" s="2"/>
    </row>
    <row r="4" spans="1:15" s="531" customFormat="1" ht="13.5" customHeight="1">
      <c r="A4" s="467" t="s">
        <v>461</v>
      </c>
      <c r="B4" s="599" t="str">
        <f>'справка №1-БАЛАНС'!E4</f>
        <v>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3" t="str">
        <f>'справка №1-БАЛАНС'!E5</f>
        <v>01.01.2016-30.06.2016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7633</v>
      </c>
      <c r="D11" s="58">
        <f>'справка №1-БАЛАНС'!H19</f>
        <v>0</v>
      </c>
      <c r="E11" s="58">
        <f>'справка №1-БАЛАНС'!H20</f>
        <v>1925</v>
      </c>
      <c r="F11" s="58">
        <f>'справка №1-БАЛАНС'!H22</f>
        <v>361</v>
      </c>
      <c r="G11" s="58">
        <f>'справка №1-БАЛАНС'!H23</f>
        <v>4294</v>
      </c>
      <c r="H11" s="60"/>
      <c r="I11" s="58">
        <f>'справка №1-БАЛАНС'!H28+'справка №1-БАЛАНС'!H31</f>
        <v>30096</v>
      </c>
      <c r="J11" s="58">
        <f>'справка №1-БАЛАНС'!H29+'справка №1-БАЛАНС'!H32</f>
        <v>-800</v>
      </c>
      <c r="K11" s="60"/>
      <c r="L11" s="344">
        <f>SUM(C11:K11)</f>
        <v>43509</v>
      </c>
      <c r="M11" s="58">
        <f>'справка №1-БАЛАНС'!H39</f>
        <v>313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7633</v>
      </c>
      <c r="D15" s="61">
        <f aca="true" t="shared" si="2" ref="D15:M15">D11+D12</f>
        <v>0</v>
      </c>
      <c r="E15" s="61">
        <f t="shared" si="2"/>
        <v>1925</v>
      </c>
      <c r="F15" s="61">
        <f t="shared" si="2"/>
        <v>361</v>
      </c>
      <c r="G15" s="61">
        <f t="shared" si="2"/>
        <v>4294</v>
      </c>
      <c r="H15" s="61">
        <f t="shared" si="2"/>
        <v>0</v>
      </c>
      <c r="I15" s="61">
        <f t="shared" si="2"/>
        <v>30096</v>
      </c>
      <c r="J15" s="61">
        <f t="shared" si="2"/>
        <v>-800</v>
      </c>
      <c r="K15" s="61">
        <f t="shared" si="2"/>
        <v>0</v>
      </c>
      <c r="L15" s="344">
        <f t="shared" si="1"/>
        <v>43509</v>
      </c>
      <c r="M15" s="61">
        <f t="shared" si="2"/>
        <v>313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-542</v>
      </c>
      <c r="K16" s="60"/>
      <c r="L16" s="344">
        <f t="shared" si="1"/>
        <v>-542</v>
      </c>
      <c r="M16" s="60">
        <v>-79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4</v>
      </c>
      <c r="F26" s="185"/>
      <c r="G26" s="185"/>
      <c r="H26" s="185"/>
      <c r="I26" s="185"/>
      <c r="J26" s="185"/>
      <c r="K26" s="185"/>
      <c r="L26" s="344">
        <f t="shared" si="1"/>
        <v>4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198</v>
      </c>
      <c r="F28" s="60"/>
      <c r="G28" s="60">
        <f>11421+1088</f>
        <v>12509</v>
      </c>
      <c r="H28" s="60"/>
      <c r="I28" s="60">
        <v>-265</v>
      </c>
      <c r="J28" s="60"/>
      <c r="K28" s="60"/>
      <c r="L28" s="344">
        <f t="shared" si="1"/>
        <v>12442</v>
      </c>
      <c r="M28" s="60">
        <v>-1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7633</v>
      </c>
      <c r="D29" s="59">
        <f aca="true" t="shared" si="6" ref="D29:M29">D17+D20+D21+D24+D28+D27+D15+D16</f>
        <v>0</v>
      </c>
      <c r="E29" s="59">
        <f t="shared" si="6"/>
        <v>2119</v>
      </c>
      <c r="F29" s="59">
        <f t="shared" si="6"/>
        <v>361</v>
      </c>
      <c r="G29" s="59">
        <f t="shared" si="6"/>
        <v>16803</v>
      </c>
      <c r="H29" s="59">
        <f t="shared" si="6"/>
        <v>0</v>
      </c>
      <c r="I29" s="59">
        <f t="shared" si="6"/>
        <v>29831</v>
      </c>
      <c r="J29" s="59">
        <f t="shared" si="6"/>
        <v>-1342</v>
      </c>
      <c r="K29" s="59">
        <f t="shared" si="6"/>
        <v>0</v>
      </c>
      <c r="L29" s="344">
        <f t="shared" si="1"/>
        <v>55405</v>
      </c>
      <c r="M29" s="59">
        <f t="shared" si="6"/>
        <v>233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7633</v>
      </c>
      <c r="D32" s="59">
        <f t="shared" si="7"/>
        <v>0</v>
      </c>
      <c r="E32" s="59">
        <f t="shared" si="7"/>
        <v>2119</v>
      </c>
      <c r="F32" s="59">
        <f t="shared" si="7"/>
        <v>361</v>
      </c>
      <c r="G32" s="59">
        <f t="shared" si="7"/>
        <v>16803</v>
      </c>
      <c r="H32" s="59">
        <f t="shared" si="7"/>
        <v>0</v>
      </c>
      <c r="I32" s="59">
        <f t="shared" si="7"/>
        <v>29831</v>
      </c>
      <c r="J32" s="59">
        <f t="shared" si="7"/>
        <v>-1342</v>
      </c>
      <c r="K32" s="59">
        <f t="shared" si="7"/>
        <v>0</v>
      </c>
      <c r="L32" s="344">
        <f t="shared" si="1"/>
        <v>55405</v>
      </c>
      <c r="M32" s="59">
        <f>M29+M30+M31</f>
        <v>233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D45" sqref="D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Уеб Финанс Холдинг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103765841</v>
      </c>
      <c r="P2" s="483"/>
      <c r="Q2" s="483"/>
      <c r="R2" s="525"/>
    </row>
    <row r="3" spans="1:18" ht="15">
      <c r="A3" s="604" t="s">
        <v>5</v>
      </c>
      <c r="B3" s="605"/>
      <c r="C3" s="607" t="str">
        <f>'справка №1-БАЛАНС'!E5</f>
        <v>01.01.2016-30.06.2016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8" t="s">
        <v>530</v>
      </c>
      <c r="R5" s="618" t="s">
        <v>531</v>
      </c>
    </row>
    <row r="6" spans="1:18" s="100" customFormat="1" ht="60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9"/>
      <c r="R6" s="61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5201</v>
      </c>
      <c r="E9" s="189"/>
      <c r="F9" s="189"/>
      <c r="G9" s="74">
        <f>D9+E9-F9</f>
        <v>5201</v>
      </c>
      <c r="H9" s="65"/>
      <c r="I9" s="65"/>
      <c r="J9" s="74">
        <f>G9+H9-I9</f>
        <v>5201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5201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18023</v>
      </c>
      <c r="E10" s="189"/>
      <c r="F10" s="189"/>
      <c r="G10" s="74">
        <f aca="true" t="shared" si="2" ref="G10:G39">D10+E10-F10</f>
        <v>18023</v>
      </c>
      <c r="H10" s="65"/>
      <c r="I10" s="65"/>
      <c r="J10" s="74">
        <f aca="true" t="shared" si="3" ref="J10:J39">G10+H10-I10</f>
        <v>18023</v>
      </c>
      <c r="K10" s="65">
        <v>910</v>
      </c>
      <c r="L10" s="65"/>
      <c r="M10" s="65"/>
      <c r="N10" s="74">
        <f aca="true" t="shared" si="4" ref="N10:N39">K10+L10-M10</f>
        <v>910</v>
      </c>
      <c r="O10" s="65"/>
      <c r="P10" s="65"/>
      <c r="Q10" s="74">
        <f t="shared" si="0"/>
        <v>910</v>
      </c>
      <c r="R10" s="74">
        <f t="shared" si="1"/>
        <v>17113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173</v>
      </c>
      <c r="E11" s="189"/>
      <c r="F11" s="189"/>
      <c r="G11" s="74">
        <f t="shared" si="2"/>
        <v>173</v>
      </c>
      <c r="H11" s="65"/>
      <c r="I11" s="65"/>
      <c r="J11" s="74">
        <f t="shared" si="3"/>
        <v>173</v>
      </c>
      <c r="K11" s="65">
        <v>170</v>
      </c>
      <c r="L11" s="65"/>
      <c r="M11" s="65"/>
      <c r="N11" s="74">
        <f t="shared" si="4"/>
        <v>170</v>
      </c>
      <c r="O11" s="65"/>
      <c r="P11" s="65"/>
      <c r="Q11" s="74">
        <f t="shared" si="0"/>
        <v>170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157</v>
      </c>
      <c r="E13" s="189"/>
      <c r="F13" s="189"/>
      <c r="G13" s="74">
        <f t="shared" si="2"/>
        <v>157</v>
      </c>
      <c r="H13" s="65"/>
      <c r="I13" s="65"/>
      <c r="J13" s="74">
        <f t="shared" si="3"/>
        <v>157</v>
      </c>
      <c r="K13" s="65">
        <v>157</v>
      </c>
      <c r="L13" s="65"/>
      <c r="M13" s="65"/>
      <c r="N13" s="74">
        <f t="shared" si="4"/>
        <v>157</v>
      </c>
      <c r="O13" s="65"/>
      <c r="P13" s="65"/>
      <c r="Q13" s="74">
        <f t="shared" si="0"/>
        <v>157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36">
      <c r="A15" s="455" t="s">
        <v>860</v>
      </c>
      <c r="B15" s="374" t="s">
        <v>861</v>
      </c>
      <c r="C15" s="456" t="s">
        <v>862</v>
      </c>
      <c r="D15" s="457">
        <v>234</v>
      </c>
      <c r="E15" s="457"/>
      <c r="F15" s="457"/>
      <c r="G15" s="74">
        <f t="shared" si="2"/>
        <v>234</v>
      </c>
      <c r="H15" s="458"/>
      <c r="I15" s="458"/>
      <c r="J15" s="74">
        <f t="shared" si="3"/>
        <v>234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165</v>
      </c>
      <c r="E16" s="189">
        <v>16</v>
      </c>
      <c r="F16" s="189"/>
      <c r="G16" s="74">
        <f t="shared" si="2"/>
        <v>181</v>
      </c>
      <c r="H16" s="65"/>
      <c r="I16" s="65"/>
      <c r="J16" s="74">
        <f t="shared" si="3"/>
        <v>181</v>
      </c>
      <c r="K16" s="65">
        <v>58</v>
      </c>
      <c r="L16" s="65">
        <v>31</v>
      </c>
      <c r="M16" s="65"/>
      <c r="N16" s="74">
        <f t="shared" si="4"/>
        <v>89</v>
      </c>
      <c r="O16" s="65"/>
      <c r="P16" s="65"/>
      <c r="Q16" s="74">
        <f aca="true" t="shared" si="5" ref="Q16:Q25">N16+O16-P16</f>
        <v>89</v>
      </c>
      <c r="R16" s="74">
        <f aca="true" t="shared" si="6" ref="R16:R25">J16-Q16</f>
        <v>92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23953</v>
      </c>
      <c r="E17" s="194">
        <f>SUM(E9:E16)</f>
        <v>16</v>
      </c>
      <c r="F17" s="194">
        <f>SUM(F9:F16)</f>
        <v>0</v>
      </c>
      <c r="G17" s="74">
        <f t="shared" si="2"/>
        <v>23969</v>
      </c>
      <c r="H17" s="75">
        <f>SUM(H9:H16)</f>
        <v>0</v>
      </c>
      <c r="I17" s="75">
        <f>SUM(I9:I16)</f>
        <v>0</v>
      </c>
      <c r="J17" s="74">
        <f t="shared" si="3"/>
        <v>23969</v>
      </c>
      <c r="K17" s="75">
        <f>SUM(K9:K16)</f>
        <v>1295</v>
      </c>
      <c r="L17" s="75">
        <f>SUM(L9:L16)</f>
        <v>31</v>
      </c>
      <c r="M17" s="75">
        <f>SUM(M9:M16)</f>
        <v>0</v>
      </c>
      <c r="N17" s="74">
        <f t="shared" si="4"/>
        <v>1326</v>
      </c>
      <c r="O17" s="75">
        <f>SUM(O9:O16)</f>
        <v>0</v>
      </c>
      <c r="P17" s="75">
        <f>SUM(P9:P16)</f>
        <v>0</v>
      </c>
      <c r="Q17" s="74">
        <f t="shared" si="5"/>
        <v>1326</v>
      </c>
      <c r="R17" s="74">
        <f t="shared" si="6"/>
        <v>22643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17531</v>
      </c>
      <c r="E18" s="187"/>
      <c r="F18" s="187">
        <v>25</v>
      </c>
      <c r="G18" s="74">
        <f t="shared" si="2"/>
        <v>17506</v>
      </c>
      <c r="H18" s="63"/>
      <c r="I18" s="63"/>
      <c r="J18" s="74">
        <f t="shared" si="3"/>
        <v>17506</v>
      </c>
      <c r="K18" s="63">
        <f>2128+746</f>
        <v>2874</v>
      </c>
      <c r="L18" s="63">
        <f>45+291</f>
        <v>336</v>
      </c>
      <c r="M18" s="63">
        <v>1</v>
      </c>
      <c r="N18" s="74">
        <f t="shared" si="4"/>
        <v>3209</v>
      </c>
      <c r="O18" s="63"/>
      <c r="P18" s="63"/>
      <c r="Q18" s="74">
        <f t="shared" si="5"/>
        <v>3209</v>
      </c>
      <c r="R18" s="74">
        <f t="shared" si="6"/>
        <v>14297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f>303+1014+1368-6</f>
        <v>2679</v>
      </c>
      <c r="E22" s="189"/>
      <c r="F22" s="189"/>
      <c r="G22" s="74">
        <f t="shared" si="2"/>
        <v>2679</v>
      </c>
      <c r="H22" s="65"/>
      <c r="I22" s="65"/>
      <c r="J22" s="74">
        <f t="shared" si="3"/>
        <v>2679</v>
      </c>
      <c r="K22" s="65">
        <f>54+411+980</f>
        <v>1445</v>
      </c>
      <c r="L22" s="65">
        <f>26+25+106</f>
        <v>157</v>
      </c>
      <c r="M22" s="65"/>
      <c r="N22" s="74">
        <f t="shared" si="4"/>
        <v>1602</v>
      </c>
      <c r="O22" s="65"/>
      <c r="P22" s="65"/>
      <c r="Q22" s="74">
        <f t="shared" si="5"/>
        <v>1602</v>
      </c>
      <c r="R22" s="74">
        <f t="shared" si="6"/>
        <v>1077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2685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2685</v>
      </c>
      <c r="H25" s="66">
        <f t="shared" si="7"/>
        <v>0</v>
      </c>
      <c r="I25" s="66">
        <f t="shared" si="7"/>
        <v>0</v>
      </c>
      <c r="J25" s="67">
        <f t="shared" si="3"/>
        <v>2685</v>
      </c>
      <c r="K25" s="66">
        <f t="shared" si="7"/>
        <v>1445</v>
      </c>
      <c r="L25" s="66">
        <f t="shared" si="7"/>
        <v>157</v>
      </c>
      <c r="M25" s="66">
        <f t="shared" si="7"/>
        <v>0</v>
      </c>
      <c r="N25" s="67">
        <f t="shared" si="4"/>
        <v>1602</v>
      </c>
      <c r="O25" s="66">
        <f t="shared" si="7"/>
        <v>0</v>
      </c>
      <c r="P25" s="66">
        <f t="shared" si="7"/>
        <v>0</v>
      </c>
      <c r="Q25" s="67">
        <f t="shared" si="5"/>
        <v>1602</v>
      </c>
      <c r="R25" s="67">
        <f t="shared" si="6"/>
        <v>1083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32573</v>
      </c>
      <c r="E27" s="192">
        <f aca="true" t="shared" si="8" ref="E27:P27">SUM(E28:E31)</f>
        <v>38282</v>
      </c>
      <c r="F27" s="192">
        <f t="shared" si="8"/>
        <v>31864</v>
      </c>
      <c r="G27" s="71">
        <f t="shared" si="2"/>
        <v>38991</v>
      </c>
      <c r="H27" s="70">
        <f t="shared" si="8"/>
        <v>0</v>
      </c>
      <c r="I27" s="70">
        <f t="shared" si="8"/>
        <v>0</v>
      </c>
      <c r="J27" s="71">
        <f t="shared" si="3"/>
        <v>38991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38991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32573</v>
      </c>
      <c r="E31" s="189">
        <f>70855-32573</f>
        <v>38282</v>
      </c>
      <c r="F31" s="189">
        <v>31864</v>
      </c>
      <c r="G31" s="74">
        <f t="shared" si="2"/>
        <v>38991</v>
      </c>
      <c r="H31" s="72"/>
      <c r="I31" s="72"/>
      <c r="J31" s="74">
        <f t="shared" si="3"/>
        <v>38991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38991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505</v>
      </c>
      <c r="E32" s="193">
        <f aca="true" t="shared" si="11" ref="E32:P32">SUM(E33:E36)</f>
        <v>10505</v>
      </c>
      <c r="F32" s="193">
        <f t="shared" si="11"/>
        <v>0</v>
      </c>
      <c r="G32" s="74">
        <f t="shared" si="2"/>
        <v>11010</v>
      </c>
      <c r="H32" s="73">
        <f t="shared" si="11"/>
        <v>0</v>
      </c>
      <c r="I32" s="73">
        <f t="shared" si="11"/>
        <v>0</v>
      </c>
      <c r="J32" s="74">
        <f t="shared" si="3"/>
        <v>11010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11010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505</v>
      </c>
      <c r="E33" s="189">
        <v>10505</v>
      </c>
      <c r="F33" s="189"/>
      <c r="G33" s="74">
        <f t="shared" si="2"/>
        <v>11010</v>
      </c>
      <c r="H33" s="72"/>
      <c r="I33" s="72"/>
      <c r="J33" s="74">
        <f t="shared" si="3"/>
        <v>11010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11010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3982</v>
      </c>
      <c r="E37" s="189">
        <f>4681-3982+2545</f>
        <v>3244</v>
      </c>
      <c r="F37" s="189"/>
      <c r="G37" s="74">
        <f t="shared" si="2"/>
        <v>7226</v>
      </c>
      <c r="H37" s="72"/>
      <c r="I37" s="72"/>
      <c r="J37" s="74">
        <f t="shared" si="3"/>
        <v>7226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7226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37060</v>
      </c>
      <c r="E38" s="194">
        <f aca="true" t="shared" si="12" ref="E38:P38">E27+E32+E37</f>
        <v>52031</v>
      </c>
      <c r="F38" s="194">
        <f t="shared" si="12"/>
        <v>31864</v>
      </c>
      <c r="G38" s="74">
        <f t="shared" si="2"/>
        <v>57227</v>
      </c>
      <c r="H38" s="75">
        <f t="shared" si="12"/>
        <v>0</v>
      </c>
      <c r="I38" s="75">
        <f t="shared" si="12"/>
        <v>0</v>
      </c>
      <c r="J38" s="74">
        <f t="shared" si="3"/>
        <v>57227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57227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81229</v>
      </c>
      <c r="E40" s="438">
        <f>E17+E18+E19+E25+E38+E39</f>
        <v>52047</v>
      </c>
      <c r="F40" s="438">
        <f aca="true" t="shared" si="13" ref="F40:R40">F17+F18+F19+F25+F38+F39</f>
        <v>31889</v>
      </c>
      <c r="G40" s="438">
        <f t="shared" si="13"/>
        <v>101387</v>
      </c>
      <c r="H40" s="438">
        <f t="shared" si="13"/>
        <v>0</v>
      </c>
      <c r="I40" s="438">
        <f t="shared" si="13"/>
        <v>0</v>
      </c>
      <c r="J40" s="438">
        <f t="shared" si="13"/>
        <v>101387</v>
      </c>
      <c r="K40" s="438">
        <f t="shared" si="13"/>
        <v>5614</v>
      </c>
      <c r="L40" s="438">
        <f t="shared" si="13"/>
        <v>524</v>
      </c>
      <c r="M40" s="438">
        <f t="shared" si="13"/>
        <v>1</v>
      </c>
      <c r="N40" s="438">
        <f t="shared" si="13"/>
        <v>6137</v>
      </c>
      <c r="O40" s="438">
        <f t="shared" si="13"/>
        <v>0</v>
      </c>
      <c r="P40" s="438">
        <f t="shared" si="13"/>
        <v>0</v>
      </c>
      <c r="Q40" s="438">
        <f t="shared" si="13"/>
        <v>6137</v>
      </c>
      <c r="R40" s="438">
        <f t="shared" si="13"/>
        <v>95250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16" t="s">
        <v>782</v>
      </c>
      <c r="P44" s="617"/>
      <c r="Q44" s="617"/>
      <c r="R44" s="61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B95" sqref="AB9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6" t="str">
        <f>'справка №1-БАЛАНС'!E3</f>
        <v>Уеб Финанс Холдинг АД</v>
      </c>
      <c r="C3" s="627"/>
      <c r="D3" s="525" t="s">
        <v>2</v>
      </c>
      <c r="E3" s="107">
        <f>'справка №1-БАЛАНС'!H3</f>
        <v>103765841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01.01.2016-30.06.2016</v>
      </c>
      <c r="C4" s="625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1469</v>
      </c>
      <c r="D16" s="119">
        <f>+D17+D18</f>
        <v>1469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1469</v>
      </c>
      <c r="D18" s="108">
        <v>1469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1469</v>
      </c>
      <c r="D19" s="104">
        <f>D11+D15+D16</f>
        <v>1469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16</v>
      </c>
      <c r="D21" s="108"/>
      <c r="E21" s="120">
        <f t="shared" si="0"/>
        <v>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18483</v>
      </c>
      <c r="D24" s="119">
        <f>SUM(D25:D27)</f>
        <v>18483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18483</v>
      </c>
      <c r="D27" s="108">
        <v>18483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3954</v>
      </c>
      <c r="D28" s="108">
        <v>3954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2521</v>
      </c>
      <c r="D29" s="108">
        <v>2521</v>
      </c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10</v>
      </c>
      <c r="D35" s="108">
        <v>10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21281</v>
      </c>
      <c r="D38" s="105">
        <f>SUM(D39:D42)</f>
        <v>21281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21281</v>
      </c>
      <c r="D42" s="108">
        <v>21281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46249</v>
      </c>
      <c r="D43" s="104">
        <f>D24+D28+D29+D31+D30+D32+D33+D38</f>
        <v>46249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47734</v>
      </c>
      <c r="D44" s="103">
        <f>D43+D21+D19+D9</f>
        <v>47718</v>
      </c>
      <c r="E44" s="118">
        <f>E43+E21+E19+E9</f>
        <v>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43233</v>
      </c>
      <c r="D56" s="103">
        <f>D57+D59</f>
        <v>0</v>
      </c>
      <c r="E56" s="119">
        <f t="shared" si="1"/>
        <v>43233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43233</v>
      </c>
      <c r="D57" s="108"/>
      <c r="E57" s="119">
        <f t="shared" si="1"/>
        <v>43233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25374</v>
      </c>
      <c r="D63" s="108"/>
      <c r="E63" s="119">
        <f t="shared" si="1"/>
        <v>25374</v>
      </c>
      <c r="F63" s="110"/>
    </row>
    <row r="64" spans="1:6" ht="12">
      <c r="A64" s="396" t="s">
        <v>708</v>
      </c>
      <c r="B64" s="397" t="s">
        <v>709</v>
      </c>
      <c r="C64" s="108">
        <f>14639+40</f>
        <v>14679</v>
      </c>
      <c r="D64" s="108"/>
      <c r="E64" s="119">
        <f t="shared" si="1"/>
        <v>14679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83286</v>
      </c>
      <c r="D66" s="103">
        <f>D52+D56+D61+D62+D63+D64</f>
        <v>0</v>
      </c>
      <c r="E66" s="119">
        <f t="shared" si="1"/>
        <v>83286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473</v>
      </c>
      <c r="D68" s="108"/>
      <c r="E68" s="119">
        <f t="shared" si="1"/>
        <v>473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2665</v>
      </c>
      <c r="D75" s="103">
        <f>D76+D78</f>
        <v>2665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2665</v>
      </c>
      <c r="D76" s="108">
        <v>2665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4417</v>
      </c>
      <c r="D80" s="103">
        <f>SUM(D81:D84)</f>
        <v>4417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4417</v>
      </c>
      <c r="D82" s="108">
        <v>4417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14857</v>
      </c>
      <c r="D85" s="104">
        <f>SUM(D86:D90)+D94</f>
        <v>14857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934</v>
      </c>
      <c r="D86" s="108">
        <v>934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10191</v>
      </c>
      <c r="D87" s="108">
        <v>10191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3318</v>
      </c>
      <c r="D88" s="108">
        <v>3318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382</v>
      </c>
      <c r="D89" s="108">
        <v>382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32</v>
      </c>
      <c r="D90" s="103">
        <f>SUM(D91:D93)</f>
        <v>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32</v>
      </c>
      <c r="D92" s="108">
        <v>32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2389</f>
        <v>2389</v>
      </c>
      <c r="D95" s="108">
        <v>2389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24328</v>
      </c>
      <c r="D96" s="104">
        <f>D85+D80+D75+D71+D95</f>
        <v>24328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108087</v>
      </c>
      <c r="D97" s="104">
        <f>D96+D68+D66</f>
        <v>24328</v>
      </c>
      <c r="E97" s="104">
        <f>E96+E68+E66</f>
        <v>83759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272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23" sqref="E23"/>
    </sheetView>
  </sheetViews>
  <sheetFormatPr defaultColWidth="9.00390625" defaultRowHeight="12.75"/>
  <cols>
    <col min="1" max="1" width="52.625" style="107" customWidth="1"/>
    <col min="2" max="2" width="9.125" style="523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Уеб Финанс Холдинг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103765841</v>
      </c>
    </row>
    <row r="5" spans="1:9" ht="15">
      <c r="A5" s="501" t="s">
        <v>5</v>
      </c>
      <c r="B5" s="629" t="str">
        <f>'справка №1-БАЛАНС'!E5</f>
        <v>01.01.2016-30.06.2016</v>
      </c>
      <c r="C5" s="629"/>
      <c r="D5" s="629"/>
      <c r="E5" s="629"/>
      <c r="F5" s="629"/>
      <c r="G5" s="632" t="s">
        <v>4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>
        <v>38991</v>
      </c>
      <c r="G12" s="98"/>
      <c r="H12" s="98"/>
      <c r="I12" s="434">
        <f>F12+G12-H12</f>
        <v>38991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>
        <f>11010+7226</f>
        <v>18236</v>
      </c>
      <c r="G16" s="98"/>
      <c r="H16" s="98"/>
      <c r="I16" s="434">
        <f t="shared" si="0"/>
        <v>18236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57227</v>
      </c>
      <c r="G17" s="85">
        <f t="shared" si="1"/>
        <v>0</v>
      </c>
      <c r="H17" s="85">
        <f t="shared" si="1"/>
        <v>0</v>
      </c>
      <c r="I17" s="434">
        <f t="shared" si="0"/>
        <v>57227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>
        <v>11226</v>
      </c>
      <c r="G19" s="98"/>
      <c r="H19" s="98"/>
      <c r="I19" s="434">
        <f t="shared" si="0"/>
        <v>11226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11226</v>
      </c>
      <c r="G26" s="85">
        <f t="shared" si="2"/>
        <v>0</v>
      </c>
      <c r="H26" s="85">
        <f t="shared" si="2"/>
        <v>0</v>
      </c>
      <c r="I26" s="434">
        <f t="shared" si="0"/>
        <v>11226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272</v>
      </c>
      <c r="B30" s="631"/>
      <c r="C30" s="631"/>
      <c r="D30" s="459" t="s">
        <v>820</v>
      </c>
      <c r="E30" s="630"/>
      <c r="F30" s="630"/>
      <c r="G30" s="630"/>
      <c r="H30" s="420" t="s">
        <v>782</v>
      </c>
      <c r="I30" s="630"/>
      <c r="J30" s="63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75" sqref="A7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625" style="508" customWidth="1"/>
    <col min="4" max="4" width="20.125" style="508" customWidth="1"/>
    <col min="5" max="5" width="23.625" style="508" customWidth="1"/>
    <col min="6" max="6" width="19.625" style="508" customWidth="1"/>
    <col min="7" max="16384" width="10.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5" t="str">
        <f>'справка №1-БАЛАНС'!E3</f>
        <v>Уеб Финанс Холдинг АД</v>
      </c>
      <c r="C5" s="635"/>
      <c r="D5" s="635"/>
      <c r="E5" s="569" t="s">
        <v>2</v>
      </c>
      <c r="F5" s="451">
        <f>'справка №1-БАЛАНС'!H3</f>
        <v>103765841</v>
      </c>
    </row>
    <row r="6" spans="1:13" ht="15" customHeight="1">
      <c r="A6" s="27" t="s">
        <v>823</v>
      </c>
      <c r="B6" s="636" t="str">
        <f>'справка №1-БАЛАНС'!E5</f>
        <v>01.01.2016-30.06.2016</v>
      </c>
      <c r="C6" s="636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 hidden="1">
      <c r="A12" s="574"/>
      <c r="B12" s="37"/>
      <c r="C12" s="441"/>
      <c r="D12" s="441"/>
      <c r="E12" s="441"/>
      <c r="F12" s="443">
        <f>C12-E12</f>
        <v>0</v>
      </c>
    </row>
    <row r="13" spans="1:6" ht="12.75" hidden="1">
      <c r="A13" s="574"/>
      <c r="B13" s="37"/>
      <c r="C13" s="441"/>
      <c r="D13" s="441"/>
      <c r="E13" s="441"/>
      <c r="F13" s="443">
        <f aca="true" t="shared" si="0" ref="F13:F24">C13-E13</f>
        <v>0</v>
      </c>
    </row>
    <row r="14" spans="1:6" ht="12.75" hidden="1">
      <c r="A14" s="574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577"/>
      <c r="E16" s="441"/>
      <c r="F16" s="443">
        <f t="shared" si="0"/>
        <v>0</v>
      </c>
    </row>
    <row r="17" spans="1:6" ht="12.75" hidden="1">
      <c r="A17" s="36"/>
      <c r="B17" s="37"/>
      <c r="C17" s="441"/>
      <c r="D17" s="577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6" ht="12.75" hidden="1">
      <c r="A19" s="36"/>
      <c r="B19" s="37"/>
      <c r="C19" s="441"/>
      <c r="D19" s="441"/>
      <c r="E19" s="441"/>
      <c r="F19" s="443">
        <f>C19-E19</f>
        <v>0</v>
      </c>
    </row>
    <row r="20" spans="1:6" ht="12.75" hidden="1">
      <c r="A20" s="36"/>
      <c r="B20" s="37"/>
      <c r="C20" s="441"/>
      <c r="D20" s="441"/>
      <c r="E20" s="441"/>
      <c r="F20" s="443">
        <f>C20-E20</f>
        <v>0</v>
      </c>
    </row>
    <row r="21" spans="1:6" ht="12.75" hidden="1">
      <c r="A21" s="578"/>
      <c r="B21" s="37"/>
      <c r="C21" s="441"/>
      <c r="D21" s="441"/>
      <c r="E21" s="441"/>
      <c r="F21" s="443">
        <f>C20-E21</f>
        <v>0</v>
      </c>
    </row>
    <row r="22" spans="1:6" ht="12.75" hidden="1">
      <c r="A22" s="36">
        <v>13</v>
      </c>
      <c r="B22" s="37"/>
      <c r="C22" s="441"/>
      <c r="D22" s="441"/>
      <c r="E22" s="441"/>
      <c r="F22" s="443">
        <f t="shared" si="0"/>
        <v>0</v>
      </c>
    </row>
    <row r="23" spans="1:6" ht="12" customHeight="1" hidden="1">
      <c r="A23" s="36">
        <v>14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15</v>
      </c>
      <c r="B24" s="37"/>
      <c r="C24" s="441"/>
      <c r="D24" s="441"/>
      <c r="E24" s="441"/>
      <c r="F24" s="443">
        <f t="shared" si="0"/>
        <v>0</v>
      </c>
    </row>
    <row r="25" spans="1:16" ht="11.25" customHeight="1">
      <c r="A25" s="38" t="s">
        <v>565</v>
      </c>
      <c r="B25" s="39" t="s">
        <v>833</v>
      </c>
      <c r="C25" s="429">
        <f>SUM(C12:C24)</f>
        <v>0</v>
      </c>
      <c r="D25" s="429"/>
      <c r="E25" s="429">
        <f>SUM(E12:E24)</f>
        <v>0</v>
      </c>
      <c r="F25" s="442">
        <f>SUM(F12:F24)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6.5" customHeight="1">
      <c r="A26" s="36" t="s">
        <v>834</v>
      </c>
      <c r="B26" s="40"/>
      <c r="C26" s="429"/>
      <c r="D26" s="429"/>
      <c r="E26" s="429"/>
      <c r="F26" s="442"/>
    </row>
    <row r="27" spans="1:6" ht="12.75" hidden="1">
      <c r="A27" s="574" t="s">
        <v>831</v>
      </c>
      <c r="B27" s="40"/>
      <c r="C27" s="441"/>
      <c r="D27" s="441"/>
      <c r="E27" s="441"/>
      <c r="F27" s="443">
        <f>C27-E27</f>
        <v>0</v>
      </c>
    </row>
    <row r="28" spans="1:6" ht="12.75" hidden="1">
      <c r="A28" s="574" t="s">
        <v>832</v>
      </c>
      <c r="B28" s="40"/>
      <c r="C28" s="441"/>
      <c r="D28" s="441"/>
      <c r="E28" s="441"/>
      <c r="F28" s="443">
        <f>C28-E28</f>
        <v>0</v>
      </c>
    </row>
    <row r="29" spans="1:6" ht="12.75" hidden="1">
      <c r="A29" s="36" t="s">
        <v>550</v>
      </c>
      <c r="B29" s="40"/>
      <c r="C29" s="441"/>
      <c r="D29" s="441"/>
      <c r="E29" s="441"/>
      <c r="F29" s="443">
        <f aca="true" t="shared" si="1" ref="F29:F41">C29-E29</f>
        <v>0</v>
      </c>
    </row>
    <row r="30" spans="1:6" ht="12.75" hidden="1">
      <c r="A30" s="36" t="s">
        <v>553</v>
      </c>
      <c r="B30" s="40"/>
      <c r="C30" s="441"/>
      <c r="D30" s="441"/>
      <c r="E30" s="441"/>
      <c r="F30" s="443">
        <f t="shared" si="1"/>
        <v>0</v>
      </c>
    </row>
    <row r="31" spans="1:6" ht="12.75" hidden="1">
      <c r="A31" s="36">
        <v>5</v>
      </c>
      <c r="B31" s="37"/>
      <c r="C31" s="441"/>
      <c r="D31" s="441"/>
      <c r="E31" s="441"/>
      <c r="F31" s="443">
        <f t="shared" si="1"/>
        <v>0</v>
      </c>
    </row>
    <row r="32" spans="1:6" ht="12.75" hidden="1">
      <c r="A32" s="36">
        <v>6</v>
      </c>
      <c r="B32" s="37"/>
      <c r="C32" s="441"/>
      <c r="D32" s="441"/>
      <c r="E32" s="441"/>
      <c r="F32" s="443">
        <f t="shared" si="1"/>
        <v>0</v>
      </c>
    </row>
    <row r="33" spans="1:6" ht="12.75" hidden="1">
      <c r="A33" s="36">
        <v>7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8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9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10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11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12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13</v>
      </c>
      <c r="B39" s="37"/>
      <c r="C39" s="441"/>
      <c r="D39" s="441"/>
      <c r="E39" s="441"/>
      <c r="F39" s="443">
        <f t="shared" si="1"/>
        <v>0</v>
      </c>
    </row>
    <row r="40" spans="1:6" ht="12" customHeight="1" hidden="1">
      <c r="A40" s="36">
        <v>14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15</v>
      </c>
      <c r="B41" s="37"/>
      <c r="C41" s="441"/>
      <c r="D41" s="441"/>
      <c r="E41" s="441"/>
      <c r="F41" s="443">
        <f t="shared" si="1"/>
        <v>0</v>
      </c>
    </row>
    <row r="42" spans="1:16" ht="15" customHeight="1">
      <c r="A42" s="38" t="s">
        <v>582</v>
      </c>
      <c r="B42" s="39" t="s">
        <v>835</v>
      </c>
      <c r="C42" s="429">
        <f>SUM(C27:C41)</f>
        <v>0</v>
      </c>
      <c r="D42" s="429"/>
      <c r="E42" s="429">
        <f>SUM(E27:E41)</f>
        <v>0</v>
      </c>
      <c r="F42" s="442">
        <f>SUM(F27:F41)</f>
        <v>0</v>
      </c>
      <c r="G42" s="515"/>
      <c r="H42" s="515"/>
      <c r="I42" s="515"/>
      <c r="J42" s="515"/>
      <c r="K42" s="515"/>
      <c r="L42" s="515"/>
      <c r="M42" s="515"/>
      <c r="N42" s="515"/>
      <c r="O42" s="515"/>
      <c r="P42" s="515"/>
    </row>
    <row r="43" spans="1:6" ht="12.75" customHeight="1">
      <c r="A43" s="36" t="s">
        <v>836</v>
      </c>
      <c r="B43" s="40"/>
      <c r="C43" s="429"/>
      <c r="D43" s="429"/>
      <c r="E43" s="429"/>
      <c r="F43" s="442"/>
    </row>
    <row r="44" spans="1:6" ht="12.75">
      <c r="A44" s="36"/>
      <c r="B44" s="40"/>
      <c r="C44" s="441"/>
      <c r="D44" s="441"/>
      <c r="E44" s="441"/>
      <c r="F44" s="443">
        <f>C44-E44</f>
        <v>0</v>
      </c>
    </row>
    <row r="45" spans="1:6" ht="12.75" hidden="1">
      <c r="A45" s="36" t="s">
        <v>547</v>
      </c>
      <c r="B45" s="40"/>
      <c r="C45" s="441"/>
      <c r="D45" s="441"/>
      <c r="E45" s="441"/>
      <c r="F45" s="443">
        <f aca="true" t="shared" si="2" ref="F45:F58">C45-E45</f>
        <v>0</v>
      </c>
    </row>
    <row r="46" spans="1:6" ht="12.75" hidden="1">
      <c r="A46" s="36" t="s">
        <v>550</v>
      </c>
      <c r="B46" s="40"/>
      <c r="C46" s="441"/>
      <c r="D46" s="441"/>
      <c r="E46" s="441"/>
      <c r="F46" s="443">
        <f t="shared" si="2"/>
        <v>0</v>
      </c>
    </row>
    <row r="47" spans="1:6" ht="12.75" hidden="1">
      <c r="A47" s="36" t="s">
        <v>553</v>
      </c>
      <c r="B47" s="40"/>
      <c r="C47" s="441"/>
      <c r="D47" s="441"/>
      <c r="E47" s="441"/>
      <c r="F47" s="443">
        <f t="shared" si="2"/>
        <v>0</v>
      </c>
    </row>
    <row r="48" spans="1:6" ht="12.75" hidden="1">
      <c r="A48" s="36">
        <v>5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6</v>
      </c>
      <c r="B49" s="37"/>
      <c r="C49" s="441"/>
      <c r="D49" s="441"/>
      <c r="E49" s="441"/>
      <c r="F49" s="443">
        <f t="shared" si="2"/>
        <v>0</v>
      </c>
    </row>
    <row r="50" spans="1:6" ht="12.75" hidden="1">
      <c r="A50" s="36">
        <v>7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8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9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10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11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12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13</v>
      </c>
      <c r="B56" s="37"/>
      <c r="C56" s="441"/>
      <c r="D56" s="441"/>
      <c r="E56" s="441"/>
      <c r="F56" s="443">
        <f t="shared" si="2"/>
        <v>0</v>
      </c>
    </row>
    <row r="57" spans="1:6" ht="12" customHeight="1" hidden="1">
      <c r="A57" s="36">
        <v>14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15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8" t="s">
        <v>601</v>
      </c>
      <c r="B59" s="39" t="s">
        <v>837</v>
      </c>
      <c r="C59" s="429">
        <f>SUM(C44:C58)</f>
        <v>0</v>
      </c>
      <c r="D59" s="429"/>
      <c r="E59" s="429">
        <f>SUM(E44:E58)</f>
        <v>0</v>
      </c>
      <c r="F59" s="442">
        <f>SUM(F44:F58)</f>
        <v>0</v>
      </c>
      <c r="G59" s="515"/>
      <c r="H59" s="515"/>
      <c r="I59" s="515"/>
      <c r="J59" s="515"/>
      <c r="K59" s="515"/>
      <c r="L59" s="515"/>
      <c r="M59" s="515"/>
      <c r="N59" s="515"/>
      <c r="O59" s="515"/>
      <c r="P59" s="515"/>
    </row>
    <row r="60" spans="1:6" ht="18.75" customHeight="1">
      <c r="A60" s="36" t="s">
        <v>838</v>
      </c>
      <c r="B60" s="40"/>
      <c r="C60" s="429"/>
      <c r="D60" s="429"/>
      <c r="E60" s="429"/>
      <c r="F60" s="442"/>
    </row>
    <row r="61" spans="1:6" ht="12.75" hidden="1">
      <c r="A61" s="36"/>
      <c r="B61" s="37"/>
      <c r="C61" s="580"/>
      <c r="D61" s="441"/>
      <c r="E61" s="441"/>
      <c r="F61" s="443">
        <f aca="true" t="shared" si="3" ref="F61:F70">C61-E61</f>
        <v>0</v>
      </c>
    </row>
    <row r="62" spans="1:6" ht="12.75" hidden="1">
      <c r="A62" s="36"/>
      <c r="B62" s="37"/>
      <c r="C62" s="580"/>
      <c r="D62" s="441"/>
      <c r="E62" s="441"/>
      <c r="F62" s="443">
        <f t="shared" si="3"/>
        <v>0</v>
      </c>
    </row>
    <row r="63" spans="1:6" ht="12.75" hidden="1">
      <c r="A63" s="36"/>
      <c r="B63" s="37"/>
      <c r="C63" s="580"/>
      <c r="D63" s="441"/>
      <c r="E63" s="441"/>
      <c r="F63" s="443">
        <f t="shared" si="3"/>
        <v>0</v>
      </c>
    </row>
    <row r="64" spans="1:6" ht="12.75" hidden="1">
      <c r="A64" s="36"/>
      <c r="B64" s="37"/>
      <c r="C64" s="580"/>
      <c r="D64" s="441"/>
      <c r="E64" s="441"/>
      <c r="F64" s="443">
        <f t="shared" si="3"/>
        <v>0</v>
      </c>
    </row>
    <row r="65" spans="1:6" ht="12.75" hidden="1">
      <c r="A65" s="36"/>
      <c r="B65" s="37"/>
      <c r="C65" s="580"/>
      <c r="D65" s="441"/>
      <c r="E65" s="441"/>
      <c r="F65" s="443">
        <f t="shared" si="3"/>
        <v>0</v>
      </c>
    </row>
    <row r="66" spans="1:6" ht="12.75" hidden="1">
      <c r="A66" s="36"/>
      <c r="B66" s="37"/>
      <c r="C66" s="580"/>
      <c r="D66" s="441"/>
      <c r="E66" s="441"/>
      <c r="F66" s="443">
        <f t="shared" si="3"/>
        <v>0</v>
      </c>
    </row>
    <row r="67" spans="1:6" ht="12.75" hidden="1">
      <c r="A67" s="36"/>
      <c r="B67" s="37"/>
      <c r="C67" s="580"/>
      <c r="D67" s="441"/>
      <c r="E67" s="441"/>
      <c r="F67" s="443">
        <f t="shared" si="3"/>
        <v>0</v>
      </c>
    </row>
    <row r="68" spans="1:6" ht="12.75" hidden="1">
      <c r="A68" s="36"/>
      <c r="B68" s="37"/>
      <c r="C68" s="580"/>
      <c r="D68" s="441"/>
      <c r="E68" s="441"/>
      <c r="F68" s="443">
        <f t="shared" si="3"/>
        <v>0</v>
      </c>
    </row>
    <row r="69" spans="1:6" ht="12" customHeight="1" hidden="1">
      <c r="A69" s="36"/>
      <c r="B69" s="37"/>
      <c r="C69" s="580"/>
      <c r="D69" s="441"/>
      <c r="E69" s="441"/>
      <c r="F69" s="443">
        <f t="shared" si="3"/>
        <v>0</v>
      </c>
    </row>
    <row r="70" spans="1:6" ht="12.75" hidden="1">
      <c r="A70" s="36"/>
      <c r="B70" s="37"/>
      <c r="C70" s="580"/>
      <c r="D70" s="441"/>
      <c r="E70" s="441"/>
      <c r="F70" s="443">
        <f t="shared" si="3"/>
        <v>0</v>
      </c>
    </row>
    <row r="71" spans="1:6" ht="12.75">
      <c r="A71" s="36"/>
      <c r="B71" s="37"/>
      <c r="C71" s="441"/>
      <c r="D71" s="577"/>
      <c r="E71" s="441"/>
      <c r="F71" s="443"/>
    </row>
    <row r="72" spans="1:16" ht="14.25" customHeight="1">
      <c r="A72" s="38" t="s">
        <v>839</v>
      </c>
      <c r="B72" s="39" t="s">
        <v>840</v>
      </c>
      <c r="C72" s="581">
        <f>SUM(C61:C70)</f>
        <v>0</v>
      </c>
      <c r="D72" s="429"/>
      <c r="E72" s="429">
        <f>SUM(E61:E70)</f>
        <v>0</v>
      </c>
      <c r="F72" s="442">
        <f>SUM(F61:F70)</f>
        <v>0</v>
      </c>
      <c r="G72" s="515"/>
      <c r="H72" s="515"/>
      <c r="I72" s="515"/>
      <c r="J72" s="515"/>
      <c r="K72" s="515"/>
      <c r="L72" s="515"/>
      <c r="M72" s="515"/>
      <c r="N72" s="515"/>
      <c r="O72" s="515"/>
      <c r="P72" s="515"/>
    </row>
    <row r="73" spans="1:16" ht="20.25" customHeight="1">
      <c r="A73" s="41" t="s">
        <v>841</v>
      </c>
      <c r="B73" s="39" t="s">
        <v>842</v>
      </c>
      <c r="C73" s="581">
        <f>C72+C59+C42+C25</f>
        <v>0</v>
      </c>
      <c r="D73" s="429"/>
      <c r="E73" s="429">
        <f>E72+E59+E42+E25</f>
        <v>0</v>
      </c>
      <c r="F73" s="442">
        <f>F72+F59+F42+F25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6" ht="15" customHeight="1">
      <c r="A74" s="34" t="s">
        <v>843</v>
      </c>
      <c r="B74" s="39"/>
      <c r="C74" s="429"/>
      <c r="D74" s="429"/>
      <c r="E74" s="429"/>
      <c r="F74" s="442"/>
    </row>
    <row r="75" spans="1:6" ht="14.25" customHeight="1">
      <c r="A75" s="36" t="s">
        <v>830</v>
      </c>
      <c r="B75" s="40"/>
      <c r="C75" s="429"/>
      <c r="D75" s="429"/>
      <c r="E75" s="429"/>
      <c r="F75" s="442"/>
    </row>
    <row r="76" spans="1:6" ht="12.75" hidden="1">
      <c r="A76" s="36" t="s">
        <v>831</v>
      </c>
      <c r="B76" s="40"/>
      <c r="C76" s="441"/>
      <c r="D76" s="441"/>
      <c r="E76" s="441"/>
      <c r="F76" s="443">
        <f>C76-E76</f>
        <v>0</v>
      </c>
    </row>
    <row r="77" spans="1:6" ht="12.75" hidden="1">
      <c r="A77" s="36" t="s">
        <v>832</v>
      </c>
      <c r="B77" s="40"/>
      <c r="C77" s="441"/>
      <c r="D77" s="441"/>
      <c r="E77" s="441"/>
      <c r="F77" s="443">
        <f aca="true" t="shared" si="4" ref="F77:F90">C77-E77</f>
        <v>0</v>
      </c>
    </row>
    <row r="78" spans="1:6" ht="12.75" hidden="1">
      <c r="A78" s="36" t="s">
        <v>550</v>
      </c>
      <c r="B78" s="40"/>
      <c r="C78" s="441"/>
      <c r="D78" s="441"/>
      <c r="E78" s="441"/>
      <c r="F78" s="443">
        <f t="shared" si="4"/>
        <v>0</v>
      </c>
    </row>
    <row r="79" spans="1:6" ht="12.75" hidden="1">
      <c r="A79" s="36" t="s">
        <v>553</v>
      </c>
      <c r="B79" s="40"/>
      <c r="C79" s="441"/>
      <c r="D79" s="441"/>
      <c r="E79" s="441"/>
      <c r="F79" s="443">
        <f t="shared" si="4"/>
        <v>0</v>
      </c>
    </row>
    <row r="80" spans="1:6" ht="12.75" hidden="1">
      <c r="A80" s="36">
        <v>5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6</v>
      </c>
      <c r="B81" s="37"/>
      <c r="C81" s="441"/>
      <c r="D81" s="441"/>
      <c r="E81" s="441"/>
      <c r="F81" s="443">
        <f t="shared" si="4"/>
        <v>0</v>
      </c>
    </row>
    <row r="82" spans="1:6" ht="12.75" hidden="1">
      <c r="A82" s="36">
        <v>7</v>
      </c>
      <c r="B82" s="37"/>
      <c r="C82" s="441"/>
      <c r="D82" s="441"/>
      <c r="E82" s="441"/>
      <c r="F82" s="443">
        <f t="shared" si="4"/>
        <v>0</v>
      </c>
    </row>
    <row r="83" spans="1:6" ht="12.75" hidden="1">
      <c r="A83" s="36">
        <v>8</v>
      </c>
      <c r="B83" s="37"/>
      <c r="C83" s="441"/>
      <c r="D83" s="441"/>
      <c r="E83" s="441"/>
      <c r="F83" s="443">
        <f t="shared" si="4"/>
        <v>0</v>
      </c>
    </row>
    <row r="84" spans="1:6" ht="12" customHeight="1" hidden="1">
      <c r="A84" s="36">
        <v>9</v>
      </c>
      <c r="B84" s="37"/>
      <c r="C84" s="441"/>
      <c r="D84" s="441"/>
      <c r="E84" s="441"/>
      <c r="F84" s="443">
        <f t="shared" si="4"/>
        <v>0</v>
      </c>
    </row>
    <row r="85" spans="1:6" ht="12.75" hidden="1">
      <c r="A85" s="36">
        <v>10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11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12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13</v>
      </c>
      <c r="B88" s="37"/>
      <c r="C88" s="441"/>
      <c r="D88" s="441"/>
      <c r="E88" s="441"/>
      <c r="F88" s="443">
        <f t="shared" si="4"/>
        <v>0</v>
      </c>
    </row>
    <row r="89" spans="1:6" ht="12" customHeight="1" hidden="1">
      <c r="A89" s="36">
        <v>14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15</v>
      </c>
      <c r="B90" s="37"/>
      <c r="C90" s="441"/>
      <c r="D90" s="441"/>
      <c r="E90" s="441"/>
      <c r="F90" s="443">
        <f t="shared" si="4"/>
        <v>0</v>
      </c>
    </row>
    <row r="91" spans="1:16" ht="15" customHeight="1">
      <c r="A91" s="38" t="s">
        <v>565</v>
      </c>
      <c r="B91" s="39" t="s">
        <v>844</v>
      </c>
      <c r="C91" s="429">
        <f>SUM(C76:C90)</f>
        <v>0</v>
      </c>
      <c r="D91" s="429"/>
      <c r="E91" s="429">
        <f>SUM(E76:E90)</f>
        <v>0</v>
      </c>
      <c r="F91" s="442">
        <f>SUM(F76:F90)</f>
        <v>0</v>
      </c>
      <c r="G91" s="515"/>
      <c r="H91" s="515"/>
      <c r="I91" s="515"/>
      <c r="J91" s="515"/>
      <c r="K91" s="515"/>
      <c r="L91" s="515"/>
      <c r="M91" s="515"/>
      <c r="N91" s="515"/>
      <c r="O91" s="515"/>
      <c r="P91" s="515"/>
    </row>
    <row r="92" spans="1:6" ht="15.75" customHeight="1">
      <c r="A92" s="36" t="s">
        <v>834</v>
      </c>
      <c r="B92" s="40"/>
      <c r="C92" s="429"/>
      <c r="D92" s="429"/>
      <c r="E92" s="429"/>
      <c r="F92" s="442"/>
    </row>
    <row r="93" spans="1:6" ht="12.75" hidden="1">
      <c r="A93" s="36" t="s">
        <v>544</v>
      </c>
      <c r="B93" s="40"/>
      <c r="C93" s="441"/>
      <c r="D93" s="441"/>
      <c r="E93" s="441"/>
      <c r="F93" s="443">
        <f>C93-E93</f>
        <v>0</v>
      </c>
    </row>
    <row r="94" spans="1:6" ht="12.75" hidden="1">
      <c r="A94" s="36" t="s">
        <v>547</v>
      </c>
      <c r="B94" s="40"/>
      <c r="C94" s="441"/>
      <c r="D94" s="441"/>
      <c r="E94" s="441"/>
      <c r="F94" s="443">
        <f aca="true" t="shared" si="5" ref="F94:F107">C94-E94</f>
        <v>0</v>
      </c>
    </row>
    <row r="95" spans="1:6" ht="12.75" hidden="1">
      <c r="A95" s="36" t="s">
        <v>550</v>
      </c>
      <c r="B95" s="40"/>
      <c r="C95" s="441"/>
      <c r="D95" s="441"/>
      <c r="E95" s="441"/>
      <c r="F95" s="443">
        <f t="shared" si="5"/>
        <v>0</v>
      </c>
    </row>
    <row r="96" spans="1:6" ht="12.75" hidden="1">
      <c r="A96" s="36" t="s">
        <v>553</v>
      </c>
      <c r="B96" s="40"/>
      <c r="C96" s="441"/>
      <c r="D96" s="441"/>
      <c r="E96" s="441"/>
      <c r="F96" s="443">
        <f t="shared" si="5"/>
        <v>0</v>
      </c>
    </row>
    <row r="97" spans="1:6" ht="12.75" hidden="1">
      <c r="A97" s="36">
        <v>5</v>
      </c>
      <c r="B97" s="37"/>
      <c r="C97" s="441"/>
      <c r="D97" s="441"/>
      <c r="E97" s="441"/>
      <c r="F97" s="443">
        <f t="shared" si="5"/>
        <v>0</v>
      </c>
    </row>
    <row r="98" spans="1:6" ht="12.75" hidden="1">
      <c r="A98" s="36">
        <v>6</v>
      </c>
      <c r="B98" s="37"/>
      <c r="C98" s="441"/>
      <c r="D98" s="441"/>
      <c r="E98" s="441"/>
      <c r="F98" s="443">
        <f t="shared" si="5"/>
        <v>0</v>
      </c>
    </row>
    <row r="99" spans="1:6" ht="12.75" hidden="1">
      <c r="A99" s="36">
        <v>7</v>
      </c>
      <c r="B99" s="37"/>
      <c r="C99" s="441"/>
      <c r="D99" s="441"/>
      <c r="E99" s="441"/>
      <c r="F99" s="443">
        <f t="shared" si="5"/>
        <v>0</v>
      </c>
    </row>
    <row r="100" spans="1:6" ht="12.75" hidden="1">
      <c r="A100" s="36">
        <v>8</v>
      </c>
      <c r="B100" s="37"/>
      <c r="C100" s="441"/>
      <c r="D100" s="441"/>
      <c r="E100" s="441"/>
      <c r="F100" s="443">
        <f t="shared" si="5"/>
        <v>0</v>
      </c>
    </row>
    <row r="101" spans="1:6" ht="12" customHeight="1" hidden="1">
      <c r="A101" s="36">
        <v>9</v>
      </c>
      <c r="B101" s="37"/>
      <c r="C101" s="441"/>
      <c r="D101" s="441"/>
      <c r="E101" s="441"/>
      <c r="F101" s="443">
        <f t="shared" si="5"/>
        <v>0</v>
      </c>
    </row>
    <row r="102" spans="1:6" ht="12.75" hidden="1">
      <c r="A102" s="36">
        <v>10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11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12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13</v>
      </c>
      <c r="B105" s="37"/>
      <c r="C105" s="441"/>
      <c r="D105" s="441"/>
      <c r="E105" s="441"/>
      <c r="F105" s="443">
        <f t="shared" si="5"/>
        <v>0</v>
      </c>
    </row>
    <row r="106" spans="1:6" ht="12" customHeight="1" hidden="1">
      <c r="A106" s="36">
        <v>14</v>
      </c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>
        <v>15</v>
      </c>
      <c r="B107" s="37"/>
      <c r="C107" s="441"/>
      <c r="D107" s="441"/>
      <c r="E107" s="441"/>
      <c r="F107" s="443">
        <f t="shared" si="5"/>
        <v>0</v>
      </c>
    </row>
    <row r="108" spans="1:16" ht="11.25" customHeight="1">
      <c r="A108" s="38" t="s">
        <v>582</v>
      </c>
      <c r="B108" s="39" t="s">
        <v>845</v>
      </c>
      <c r="C108" s="429">
        <f>SUM(C93:C107)</f>
        <v>0</v>
      </c>
      <c r="D108" s="429"/>
      <c r="E108" s="429">
        <f>SUM(E93:E107)</f>
        <v>0</v>
      </c>
      <c r="F108" s="442">
        <f>SUM(F93:F107)</f>
        <v>0</v>
      </c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</row>
    <row r="109" spans="1:6" ht="15" customHeight="1">
      <c r="A109" s="36" t="s">
        <v>836</v>
      </c>
      <c r="B109" s="40"/>
      <c r="C109" s="429"/>
      <c r="D109" s="429"/>
      <c r="E109" s="429"/>
      <c r="F109" s="442"/>
    </row>
    <row r="110" spans="1:6" ht="12.75" hidden="1">
      <c r="A110" s="36" t="s">
        <v>544</v>
      </c>
      <c r="B110" s="40"/>
      <c r="C110" s="441"/>
      <c r="D110" s="441"/>
      <c r="E110" s="441"/>
      <c r="F110" s="443">
        <f>C110-E110</f>
        <v>0</v>
      </c>
    </row>
    <row r="111" spans="1:6" ht="12.75" hidden="1">
      <c r="A111" s="36" t="s">
        <v>547</v>
      </c>
      <c r="B111" s="40"/>
      <c r="C111" s="441"/>
      <c r="D111" s="441"/>
      <c r="E111" s="441"/>
      <c r="F111" s="443">
        <f aca="true" t="shared" si="6" ref="F111:F124">C111-E111</f>
        <v>0</v>
      </c>
    </row>
    <row r="112" spans="1:6" ht="12.75" hidden="1">
      <c r="A112" s="36" t="s">
        <v>550</v>
      </c>
      <c r="B112" s="40"/>
      <c r="C112" s="441"/>
      <c r="D112" s="441"/>
      <c r="E112" s="441"/>
      <c r="F112" s="443">
        <f t="shared" si="6"/>
        <v>0</v>
      </c>
    </row>
    <row r="113" spans="1:6" ht="12.75" hidden="1">
      <c r="A113" s="36" t="s">
        <v>553</v>
      </c>
      <c r="B113" s="40"/>
      <c r="C113" s="441"/>
      <c r="D113" s="441"/>
      <c r="E113" s="441"/>
      <c r="F113" s="443">
        <f t="shared" si="6"/>
        <v>0</v>
      </c>
    </row>
    <row r="114" spans="1:6" ht="12.75" hidden="1">
      <c r="A114" s="36">
        <v>5</v>
      </c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>
        <v>6</v>
      </c>
      <c r="B115" s="37"/>
      <c r="C115" s="441"/>
      <c r="D115" s="441"/>
      <c r="E115" s="441"/>
      <c r="F115" s="443">
        <f t="shared" si="6"/>
        <v>0</v>
      </c>
    </row>
    <row r="116" spans="1:6" ht="12.75" hidden="1">
      <c r="A116" s="36">
        <v>7</v>
      </c>
      <c r="B116" s="37"/>
      <c r="C116" s="441"/>
      <c r="D116" s="441"/>
      <c r="E116" s="441"/>
      <c r="F116" s="443">
        <f t="shared" si="6"/>
        <v>0</v>
      </c>
    </row>
    <row r="117" spans="1:6" ht="12.75" hidden="1">
      <c r="A117" s="36">
        <v>8</v>
      </c>
      <c r="B117" s="37"/>
      <c r="C117" s="441"/>
      <c r="D117" s="441"/>
      <c r="E117" s="441"/>
      <c r="F117" s="443">
        <f t="shared" si="6"/>
        <v>0</v>
      </c>
    </row>
    <row r="118" spans="1:6" ht="12" customHeight="1" hidden="1">
      <c r="A118" s="36">
        <v>9</v>
      </c>
      <c r="B118" s="37"/>
      <c r="C118" s="441"/>
      <c r="D118" s="441"/>
      <c r="E118" s="441"/>
      <c r="F118" s="443">
        <f t="shared" si="6"/>
        <v>0</v>
      </c>
    </row>
    <row r="119" spans="1:6" ht="12.75" hidden="1">
      <c r="A119" s="36">
        <v>10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11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12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13</v>
      </c>
      <c r="B122" s="37"/>
      <c r="C122" s="441"/>
      <c r="D122" s="441"/>
      <c r="E122" s="441"/>
      <c r="F122" s="443">
        <f t="shared" si="6"/>
        <v>0</v>
      </c>
    </row>
    <row r="123" spans="1:6" ht="12" customHeight="1" hidden="1">
      <c r="A123" s="36">
        <v>14</v>
      </c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>
        <v>15</v>
      </c>
      <c r="B124" s="37"/>
      <c r="C124" s="441"/>
      <c r="D124" s="441"/>
      <c r="E124" s="441"/>
      <c r="F124" s="443">
        <f t="shared" si="6"/>
        <v>0</v>
      </c>
    </row>
    <row r="125" spans="1:16" ht="15.75" customHeight="1">
      <c r="A125" s="38" t="s">
        <v>601</v>
      </c>
      <c r="B125" s="39" t="s">
        <v>846</v>
      </c>
      <c r="C125" s="429">
        <f>SUM(C110:C124)</f>
        <v>0</v>
      </c>
      <c r="D125" s="429"/>
      <c r="E125" s="429">
        <f>SUM(E110:E124)</f>
        <v>0</v>
      </c>
      <c r="F125" s="442">
        <f>SUM(F110:F124)</f>
        <v>0</v>
      </c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</row>
    <row r="126" spans="1:6" ht="12.75" customHeight="1">
      <c r="A126" s="36" t="s">
        <v>838</v>
      </c>
      <c r="B126" s="40"/>
      <c r="C126" s="429"/>
      <c r="D126" s="429"/>
      <c r="E126" s="429"/>
      <c r="F126" s="442"/>
    </row>
    <row r="127" spans="1:6" ht="12.75" hidden="1">
      <c r="A127" s="36" t="s">
        <v>547</v>
      </c>
      <c r="B127" s="40"/>
      <c r="C127" s="441"/>
      <c r="D127" s="441"/>
      <c r="E127" s="441"/>
      <c r="F127" s="443">
        <f aca="true" t="shared" si="7" ref="F127:F140">C127-E127</f>
        <v>0</v>
      </c>
    </row>
    <row r="128" spans="1:6" ht="12.75" hidden="1">
      <c r="A128" s="36" t="s">
        <v>550</v>
      </c>
      <c r="B128" s="40"/>
      <c r="C128" s="441"/>
      <c r="D128" s="441"/>
      <c r="E128" s="441"/>
      <c r="F128" s="443">
        <f t="shared" si="7"/>
        <v>0</v>
      </c>
    </row>
    <row r="129" spans="1:6" ht="12.75" hidden="1">
      <c r="A129" s="36" t="s">
        <v>553</v>
      </c>
      <c r="B129" s="40"/>
      <c r="C129" s="441"/>
      <c r="D129" s="441"/>
      <c r="E129" s="441"/>
      <c r="F129" s="443">
        <f t="shared" si="7"/>
        <v>0</v>
      </c>
    </row>
    <row r="130" spans="1:6" ht="12.75" hidden="1">
      <c r="A130" s="36">
        <v>5</v>
      </c>
      <c r="B130" s="37"/>
      <c r="C130" s="441"/>
      <c r="D130" s="441"/>
      <c r="E130" s="441"/>
      <c r="F130" s="443">
        <f t="shared" si="7"/>
        <v>0</v>
      </c>
    </row>
    <row r="131" spans="1:6" ht="12.75" hidden="1">
      <c r="A131" s="36">
        <v>6</v>
      </c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>
        <v>7</v>
      </c>
      <c r="B132" s="37"/>
      <c r="C132" s="441"/>
      <c r="D132" s="441"/>
      <c r="E132" s="441"/>
      <c r="F132" s="443">
        <f t="shared" si="7"/>
        <v>0</v>
      </c>
    </row>
    <row r="133" spans="1:6" ht="12.75" hidden="1">
      <c r="A133" s="36">
        <v>8</v>
      </c>
      <c r="B133" s="37"/>
      <c r="C133" s="441"/>
      <c r="D133" s="441"/>
      <c r="E133" s="441"/>
      <c r="F133" s="443">
        <f t="shared" si="7"/>
        <v>0</v>
      </c>
    </row>
    <row r="134" spans="1:6" ht="12" customHeight="1" hidden="1">
      <c r="A134" s="36">
        <v>9</v>
      </c>
      <c r="B134" s="37"/>
      <c r="C134" s="441"/>
      <c r="D134" s="441"/>
      <c r="E134" s="441"/>
      <c r="F134" s="443">
        <f t="shared" si="7"/>
        <v>0</v>
      </c>
    </row>
    <row r="135" spans="1:6" ht="12.75" hidden="1">
      <c r="A135" s="36">
        <v>10</v>
      </c>
      <c r="B135" s="37"/>
      <c r="C135" s="441"/>
      <c r="D135" s="441"/>
      <c r="E135" s="441"/>
      <c r="F135" s="443">
        <f t="shared" si="7"/>
        <v>0</v>
      </c>
    </row>
    <row r="136" spans="1:6" ht="12.75" hidden="1">
      <c r="A136" s="36">
        <v>11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12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13</v>
      </c>
      <c r="B138" s="37"/>
      <c r="C138" s="441"/>
      <c r="D138" s="441"/>
      <c r="E138" s="441"/>
      <c r="F138" s="443">
        <f t="shared" si="7"/>
        <v>0</v>
      </c>
    </row>
    <row r="139" spans="1:6" ht="12" customHeight="1" hidden="1">
      <c r="A139" s="36">
        <v>14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15</v>
      </c>
      <c r="B140" s="37"/>
      <c r="C140" s="441"/>
      <c r="D140" s="441"/>
      <c r="E140" s="441"/>
      <c r="F140" s="443">
        <f t="shared" si="7"/>
        <v>0</v>
      </c>
    </row>
    <row r="141" spans="1:16" ht="17.25" customHeight="1">
      <c r="A141" s="38" t="s">
        <v>839</v>
      </c>
      <c r="B141" s="39" t="s">
        <v>847</v>
      </c>
      <c r="C141" s="429">
        <f>SUM(C127:C140)</f>
        <v>0</v>
      </c>
      <c r="D141" s="429"/>
      <c r="E141" s="429">
        <f>SUM(E127:E140)</f>
        <v>0</v>
      </c>
      <c r="F141" s="442">
        <f>SUM(F127:F140)</f>
        <v>0</v>
      </c>
      <c r="G141" s="515"/>
      <c r="H141" s="515"/>
      <c r="I141" s="515"/>
      <c r="J141" s="515"/>
      <c r="K141" s="515"/>
      <c r="L141" s="515"/>
      <c r="M141" s="515"/>
      <c r="N141" s="515"/>
      <c r="O141" s="515"/>
      <c r="P141" s="515"/>
    </row>
    <row r="142" spans="1:16" ht="19.5" customHeight="1">
      <c r="A142" s="41" t="s">
        <v>848</v>
      </c>
      <c r="B142" s="39" t="s">
        <v>849</v>
      </c>
      <c r="C142" s="429">
        <f>C141+C125+C108+C91</f>
        <v>0</v>
      </c>
      <c r="D142" s="429"/>
      <c r="E142" s="429">
        <f>E141+E125+E108+E91</f>
        <v>0</v>
      </c>
      <c r="F142" s="442">
        <f>F141+F125+F108+F91</f>
        <v>0</v>
      </c>
      <c r="G142" s="515"/>
      <c r="H142" s="515"/>
      <c r="I142" s="515"/>
      <c r="J142" s="515"/>
      <c r="K142" s="515"/>
      <c r="L142" s="515"/>
      <c r="M142" s="515"/>
      <c r="N142" s="515"/>
      <c r="O142" s="515"/>
      <c r="P142" s="515"/>
    </row>
    <row r="143" spans="1:6" ht="19.5" customHeight="1">
      <c r="A143" s="42"/>
      <c r="B143" s="43"/>
      <c r="C143" s="44"/>
      <c r="D143" s="44"/>
      <c r="E143" s="44"/>
      <c r="F143" s="44"/>
    </row>
    <row r="144" spans="1:6" ht="12.75">
      <c r="A144" s="452" t="s">
        <v>867</v>
      </c>
      <c r="B144" s="453"/>
      <c r="C144" s="637" t="s">
        <v>850</v>
      </c>
      <c r="D144" s="637"/>
      <c r="E144" s="637"/>
      <c r="F144" s="637"/>
    </row>
    <row r="145" spans="1:6" ht="12.75">
      <c r="A145" s="516"/>
      <c r="B145" s="517"/>
      <c r="C145" s="516"/>
      <c r="D145" s="516"/>
      <c r="E145" s="516"/>
      <c r="F145" s="516"/>
    </row>
    <row r="146" spans="1:6" ht="12.75">
      <c r="A146" s="516"/>
      <c r="B146" s="517"/>
      <c r="C146" s="637" t="s">
        <v>858</v>
      </c>
      <c r="D146" s="637"/>
      <c r="E146" s="637"/>
      <c r="F146" s="637"/>
    </row>
    <row r="147" spans="3:5" ht="12.75">
      <c r="C147" s="516"/>
      <c r="E147" s="516"/>
    </row>
  </sheetData>
  <sheetProtection/>
  <mergeCells count="4">
    <mergeCell ref="B5:D5"/>
    <mergeCell ref="B6:C6"/>
    <mergeCell ref="C146:F146"/>
    <mergeCell ref="C144:F1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0 C110:F124 C93:F107 C76:F90 C22:D24 C61:F71 E12:F24 C27:F41 C12:D20 C44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S.Peshterski</cp:lastModifiedBy>
  <cp:lastPrinted>2016-08-31T11:51:05Z</cp:lastPrinted>
  <dcterms:created xsi:type="dcterms:W3CDTF">2000-06-29T12:02:40Z</dcterms:created>
  <dcterms:modified xsi:type="dcterms:W3CDTF">2016-08-31T12:12:08Z</dcterms:modified>
  <cp:category/>
  <cp:version/>
  <cp:contentType/>
  <cp:contentStatus/>
</cp:coreProperties>
</file>